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2e216e23c6f6423/Desktop/"/>
    </mc:Choice>
  </mc:AlternateContent>
  <xr:revisionPtr revIDLastSave="15" documentId="13_ncr:1_{04384AA5-08C8-4E30-904C-ABDFFE5E5878}" xr6:coauthVersionLast="47" xr6:coauthVersionMax="47" xr10:uidLastSave="{F218A334-40FB-40A3-B77F-FE147070ACFA}"/>
  <bookViews>
    <workbookView xWindow="-120" yWindow="-120" windowWidth="29040" windowHeight="15720" tabRatio="723" firstSheet="1" activeTab="4" xr2:uid="{00000000-000D-0000-FFFF-FFFF00000000}"/>
  </bookViews>
  <sheets>
    <sheet name="لوحة التحكم – KPIs" sheetId="1" r:id="rId1"/>
    <sheet name="الميزانية العمومية" sheetId="2" r:id="rId2"/>
    <sheet name="قائمة التدفقات النقدية" sheetId="3" r:id="rId3"/>
    <sheet name="قائمة الدخل" sheetId="4" r:id="rId4"/>
    <sheet name="ميزان المراجعة" sheetId="5" r:id="rId5"/>
    <sheet name="الأصول الثابتة والإهلاك" sheetId="6" r:id="rId6"/>
    <sheet name="الأرصدة الافتتاحية" sheetId="7" r:id="rId7"/>
    <sheet name="دليل الحسابات" sheetId="8" r:id="rId8"/>
    <sheet name="دليل الاستخدام" sheetId="9" r:id="rId9"/>
    <sheet name="تحليل ضريبة القيمة المضافة" sheetId="10" r:id="rId10"/>
    <sheet name="تحليل العملاء والموردين" sheetId="11" r:id="rId11"/>
  </sheets>
  <definedNames>
    <definedName name="_xlnm._FilterDatabase" localSheetId="7" hidden="1">'دليل الحسابات'!$A$4:$F$141</definedName>
    <definedName name="_xlnm._FilterDatabase" localSheetId="4" hidden="1">'ميزان المراجعة'!$A$4:$J$121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64" i="11" l="1"/>
  <c r="H64" i="11"/>
  <c r="G64" i="11"/>
  <c r="F64" i="11"/>
  <c r="E63" i="11"/>
  <c r="J63" i="11" s="1"/>
  <c r="E62" i="11"/>
  <c r="J62" i="11" s="1"/>
  <c r="E61" i="11"/>
  <c r="J61" i="11" s="1"/>
  <c r="E60" i="11"/>
  <c r="J60" i="11" s="1"/>
  <c r="E59" i="11"/>
  <c r="J59" i="11" s="1"/>
  <c r="E58" i="11"/>
  <c r="J58" i="11" s="1"/>
  <c r="E57" i="11"/>
  <c r="J57" i="11" s="1"/>
  <c r="E49" i="11"/>
  <c r="J49" i="11" s="1"/>
  <c r="E48" i="11"/>
  <c r="J48" i="11" s="1"/>
  <c r="E47" i="11"/>
  <c r="J47" i="11" s="1"/>
  <c r="E46" i="11"/>
  <c r="J46" i="11" s="1"/>
  <c r="E45" i="11"/>
  <c r="J45" i="11" s="1"/>
  <c r="E44" i="11"/>
  <c r="J44" i="11" s="1"/>
  <c r="E43" i="11"/>
  <c r="J43" i="11" s="1"/>
  <c r="E42" i="11"/>
  <c r="J42" i="11" s="1"/>
  <c r="B33" i="11"/>
  <c r="D33" i="11" s="1"/>
  <c r="B27" i="11"/>
  <c r="I25" i="11"/>
  <c r="B36" i="11" s="1"/>
  <c r="D36" i="11" s="1"/>
  <c r="H25" i="11"/>
  <c r="B35" i="11" s="1"/>
  <c r="D35" i="11" s="1"/>
  <c r="G25" i="11"/>
  <c r="B34" i="11" s="1"/>
  <c r="D34" i="11" s="1"/>
  <c r="F25" i="11"/>
  <c r="E24" i="11"/>
  <c r="J24" i="11" s="1"/>
  <c r="E23" i="11"/>
  <c r="J23" i="11" s="1"/>
  <c r="E22" i="11"/>
  <c r="J22" i="11" s="1"/>
  <c r="E21" i="11"/>
  <c r="J21" i="11" s="1"/>
  <c r="E20" i="11"/>
  <c r="J20" i="11" s="1"/>
  <c r="E19" i="11"/>
  <c r="J19" i="11" s="1"/>
  <c r="E18" i="11"/>
  <c r="J18" i="11" s="1"/>
  <c r="E17" i="11"/>
  <c r="J17" i="11" s="1"/>
  <c r="E16" i="11"/>
  <c r="J16" i="11" s="1"/>
  <c r="E15" i="11"/>
  <c r="J15" i="11" s="1"/>
  <c r="E14" i="11"/>
  <c r="J14" i="11" s="1"/>
  <c r="E13" i="11"/>
  <c r="J13" i="11" s="1"/>
  <c r="E12" i="11"/>
  <c r="J12" i="11" s="1"/>
  <c r="E11" i="11"/>
  <c r="J11" i="11" s="1"/>
  <c r="E10" i="11"/>
  <c r="J10" i="11" s="1"/>
  <c r="E9" i="11"/>
  <c r="J9" i="11" s="1"/>
  <c r="E8" i="11"/>
  <c r="J8" i="11" s="1"/>
  <c r="E7" i="11"/>
  <c r="E6" i="11"/>
  <c r="J6" i="11" s="1"/>
  <c r="D797" i="10"/>
  <c r="B797" i="10"/>
  <c r="D796" i="10"/>
  <c r="B796" i="10"/>
  <c r="D795" i="10"/>
  <c r="D798" i="10" s="1"/>
  <c r="B795" i="10"/>
  <c r="B798" i="10" s="1"/>
  <c r="E784" i="10"/>
  <c r="D789" i="10" s="1"/>
  <c r="F783" i="10"/>
  <c r="H783" i="10" s="1"/>
  <c r="H782" i="10"/>
  <c r="F782" i="10"/>
  <c r="F781" i="10"/>
  <c r="H781" i="10" s="1"/>
  <c r="F780" i="10"/>
  <c r="H780" i="10" s="1"/>
  <c r="F779" i="10"/>
  <c r="H779" i="10" s="1"/>
  <c r="H778" i="10"/>
  <c r="F778" i="10"/>
  <c r="F777" i="10"/>
  <c r="H777" i="10" s="1"/>
  <c r="F776" i="10"/>
  <c r="H776" i="10" s="1"/>
  <c r="F775" i="10"/>
  <c r="H775" i="10" s="1"/>
  <c r="H774" i="10"/>
  <c r="F774" i="10"/>
  <c r="F773" i="10"/>
  <c r="H773" i="10" s="1"/>
  <c r="F772" i="10"/>
  <c r="H772" i="10" s="1"/>
  <c r="F771" i="10"/>
  <c r="H771" i="10" s="1"/>
  <c r="H770" i="10"/>
  <c r="F770" i="10"/>
  <c r="F769" i="10"/>
  <c r="H769" i="10" s="1"/>
  <c r="F768" i="10"/>
  <c r="H768" i="10" s="1"/>
  <c r="F767" i="10"/>
  <c r="H767" i="10" s="1"/>
  <c r="H766" i="10"/>
  <c r="F766" i="10"/>
  <c r="F765" i="10"/>
  <c r="H765" i="10" s="1"/>
  <c r="F764" i="10"/>
  <c r="H764" i="10" s="1"/>
  <c r="F763" i="10"/>
  <c r="H763" i="10" s="1"/>
  <c r="H762" i="10"/>
  <c r="F762" i="10"/>
  <c r="F761" i="10"/>
  <c r="H761" i="10" s="1"/>
  <c r="F760" i="10"/>
  <c r="H760" i="10" s="1"/>
  <c r="F759" i="10"/>
  <c r="H759" i="10" s="1"/>
  <c r="H758" i="10"/>
  <c r="F758" i="10"/>
  <c r="F757" i="10"/>
  <c r="H757" i="10" s="1"/>
  <c r="F756" i="10"/>
  <c r="H756" i="10" s="1"/>
  <c r="F755" i="10"/>
  <c r="H755" i="10" s="1"/>
  <c r="H754" i="10"/>
  <c r="F754" i="10"/>
  <c r="F753" i="10"/>
  <c r="H753" i="10" s="1"/>
  <c r="F752" i="10"/>
  <c r="H752" i="10" s="1"/>
  <c r="F751" i="10"/>
  <c r="H751" i="10" s="1"/>
  <c r="H750" i="10"/>
  <c r="F750" i="10"/>
  <c r="F749" i="10"/>
  <c r="H749" i="10" s="1"/>
  <c r="F748" i="10"/>
  <c r="H748" i="10" s="1"/>
  <c r="F747" i="10"/>
  <c r="H747" i="10" s="1"/>
  <c r="H746" i="10"/>
  <c r="F746" i="10"/>
  <c r="F745" i="10"/>
  <c r="H745" i="10" s="1"/>
  <c r="F744" i="10"/>
  <c r="H744" i="10" s="1"/>
  <c r="F743" i="10"/>
  <c r="H743" i="10" s="1"/>
  <c r="H742" i="10"/>
  <c r="F742" i="10"/>
  <c r="F741" i="10"/>
  <c r="H741" i="10" s="1"/>
  <c r="F740" i="10"/>
  <c r="H740" i="10" s="1"/>
  <c r="F739" i="10"/>
  <c r="H739" i="10" s="1"/>
  <c r="H738" i="10"/>
  <c r="F738" i="10"/>
  <c r="F737" i="10"/>
  <c r="H737" i="10" s="1"/>
  <c r="F736" i="10"/>
  <c r="H736" i="10" s="1"/>
  <c r="F735" i="10"/>
  <c r="H735" i="10" s="1"/>
  <c r="H734" i="10"/>
  <c r="F734" i="10"/>
  <c r="F733" i="10"/>
  <c r="H733" i="10" s="1"/>
  <c r="F732" i="10"/>
  <c r="H732" i="10" s="1"/>
  <c r="F731" i="10"/>
  <c r="H731" i="10" s="1"/>
  <c r="H730" i="10"/>
  <c r="F730" i="10"/>
  <c r="F729" i="10"/>
  <c r="H729" i="10" s="1"/>
  <c r="F728" i="10"/>
  <c r="H728" i="10" s="1"/>
  <c r="F727" i="10"/>
  <c r="H727" i="10" s="1"/>
  <c r="H726" i="10"/>
  <c r="F726" i="10"/>
  <c r="F725" i="10"/>
  <c r="H725" i="10" s="1"/>
  <c r="F724" i="10"/>
  <c r="H724" i="10" s="1"/>
  <c r="F723" i="10"/>
  <c r="H723" i="10" s="1"/>
  <c r="H722" i="10"/>
  <c r="F722" i="10"/>
  <c r="F721" i="10"/>
  <c r="H721" i="10" s="1"/>
  <c r="F720" i="10"/>
  <c r="H720" i="10" s="1"/>
  <c r="F719" i="10"/>
  <c r="H719" i="10" s="1"/>
  <c r="H718" i="10"/>
  <c r="F718" i="10"/>
  <c r="F717" i="10"/>
  <c r="H717" i="10" s="1"/>
  <c r="F716" i="10"/>
  <c r="H716" i="10" s="1"/>
  <c r="F715" i="10"/>
  <c r="H715" i="10" s="1"/>
  <c r="H714" i="10"/>
  <c r="F714" i="10"/>
  <c r="F713" i="10"/>
  <c r="H713" i="10" s="1"/>
  <c r="F712" i="10"/>
  <c r="H712" i="10" s="1"/>
  <c r="F711" i="10"/>
  <c r="H711" i="10" s="1"/>
  <c r="H710" i="10"/>
  <c r="F710" i="10"/>
  <c r="F709" i="10"/>
  <c r="H709" i="10" s="1"/>
  <c r="F708" i="10"/>
  <c r="H708" i="10" s="1"/>
  <c r="F707" i="10"/>
  <c r="H707" i="10" s="1"/>
  <c r="H706" i="10"/>
  <c r="F706" i="10"/>
  <c r="F705" i="10"/>
  <c r="H705" i="10" s="1"/>
  <c r="F704" i="10"/>
  <c r="H704" i="10" s="1"/>
  <c r="F703" i="10"/>
  <c r="H703" i="10" s="1"/>
  <c r="H702" i="10"/>
  <c r="F702" i="10"/>
  <c r="F701" i="10"/>
  <c r="H701" i="10" s="1"/>
  <c r="F700" i="10"/>
  <c r="H700" i="10" s="1"/>
  <c r="F699" i="10"/>
  <c r="H699" i="10" s="1"/>
  <c r="H698" i="10"/>
  <c r="F698" i="10"/>
  <c r="F697" i="10"/>
  <c r="H697" i="10" s="1"/>
  <c r="F696" i="10"/>
  <c r="H696" i="10" s="1"/>
  <c r="F695" i="10"/>
  <c r="H695" i="10" s="1"/>
  <c r="H694" i="10"/>
  <c r="F694" i="10"/>
  <c r="F693" i="10"/>
  <c r="H693" i="10" s="1"/>
  <c r="F692" i="10"/>
  <c r="H692" i="10" s="1"/>
  <c r="F691" i="10"/>
  <c r="H691" i="10" s="1"/>
  <c r="H690" i="10"/>
  <c r="F690" i="10"/>
  <c r="F689" i="10"/>
  <c r="H689" i="10" s="1"/>
  <c r="F688" i="10"/>
  <c r="H688" i="10" s="1"/>
  <c r="F687" i="10"/>
  <c r="H687" i="10" s="1"/>
  <c r="H686" i="10"/>
  <c r="F686" i="10"/>
  <c r="F685" i="10"/>
  <c r="H685" i="10" s="1"/>
  <c r="F684" i="10"/>
  <c r="H684" i="10" s="1"/>
  <c r="F683" i="10"/>
  <c r="H683" i="10" s="1"/>
  <c r="H682" i="10"/>
  <c r="F682" i="10"/>
  <c r="F681" i="10"/>
  <c r="H681" i="10" s="1"/>
  <c r="F680" i="10"/>
  <c r="H680" i="10" s="1"/>
  <c r="F679" i="10"/>
  <c r="H679" i="10" s="1"/>
  <c r="H678" i="10"/>
  <c r="F678" i="10"/>
  <c r="F677" i="10"/>
  <c r="H677" i="10" s="1"/>
  <c r="F676" i="10"/>
  <c r="H676" i="10" s="1"/>
  <c r="F675" i="10"/>
  <c r="H675" i="10" s="1"/>
  <c r="H674" i="10"/>
  <c r="F674" i="10"/>
  <c r="F673" i="10"/>
  <c r="H673" i="10" s="1"/>
  <c r="F672" i="10"/>
  <c r="H672" i="10" s="1"/>
  <c r="F671" i="10"/>
  <c r="H671" i="10" s="1"/>
  <c r="H670" i="10"/>
  <c r="F670" i="10"/>
  <c r="F669" i="10"/>
  <c r="H669" i="10" s="1"/>
  <c r="F668" i="10"/>
  <c r="H668" i="10" s="1"/>
  <c r="F667" i="10"/>
  <c r="H667" i="10" s="1"/>
  <c r="H666" i="10"/>
  <c r="F666" i="10"/>
  <c r="F665" i="10"/>
  <c r="H665" i="10" s="1"/>
  <c r="F664" i="10"/>
  <c r="H664" i="10" s="1"/>
  <c r="F663" i="10"/>
  <c r="H663" i="10" s="1"/>
  <c r="H662" i="10"/>
  <c r="F662" i="10"/>
  <c r="F661" i="10"/>
  <c r="H661" i="10" s="1"/>
  <c r="F660" i="10"/>
  <c r="H660" i="10" s="1"/>
  <c r="F659" i="10"/>
  <c r="H659" i="10" s="1"/>
  <c r="H658" i="10"/>
  <c r="F658" i="10"/>
  <c r="F657" i="10"/>
  <c r="H657" i="10" s="1"/>
  <c r="F656" i="10"/>
  <c r="H656" i="10" s="1"/>
  <c r="F655" i="10"/>
  <c r="H655" i="10" s="1"/>
  <c r="H654" i="10"/>
  <c r="F654" i="10"/>
  <c r="F653" i="10"/>
  <c r="H653" i="10" s="1"/>
  <c r="F652" i="10"/>
  <c r="H652" i="10" s="1"/>
  <c r="F651" i="10"/>
  <c r="H651" i="10" s="1"/>
  <c r="H650" i="10"/>
  <c r="F650" i="10"/>
  <c r="F649" i="10"/>
  <c r="H649" i="10" s="1"/>
  <c r="F648" i="10"/>
  <c r="H648" i="10" s="1"/>
  <c r="F647" i="10"/>
  <c r="H647" i="10" s="1"/>
  <c r="H646" i="10"/>
  <c r="F646" i="10"/>
  <c r="F645" i="10"/>
  <c r="H645" i="10" s="1"/>
  <c r="F644" i="10"/>
  <c r="E797" i="10" s="1"/>
  <c r="E640" i="10"/>
  <c r="D787" i="10" s="1"/>
  <c r="F639" i="10"/>
  <c r="H639" i="10" s="1"/>
  <c r="F638" i="10"/>
  <c r="H638" i="10" s="1"/>
  <c r="F637" i="10"/>
  <c r="H637" i="10" s="1"/>
  <c r="F636" i="10"/>
  <c r="H636" i="10" s="1"/>
  <c r="F635" i="10"/>
  <c r="H635" i="10" s="1"/>
  <c r="F634" i="10"/>
  <c r="H634" i="10" s="1"/>
  <c r="F633" i="10"/>
  <c r="H633" i="10" s="1"/>
  <c r="F632" i="10"/>
  <c r="H632" i="10" s="1"/>
  <c r="F631" i="10"/>
  <c r="H631" i="10" s="1"/>
  <c r="F630" i="10"/>
  <c r="H630" i="10" s="1"/>
  <c r="F629" i="10"/>
  <c r="H629" i="10" s="1"/>
  <c r="F628" i="10"/>
  <c r="H628" i="10" s="1"/>
  <c r="F627" i="10"/>
  <c r="H627" i="10" s="1"/>
  <c r="H626" i="10"/>
  <c r="F626" i="10"/>
  <c r="F625" i="10"/>
  <c r="H625" i="10" s="1"/>
  <c r="F624" i="10"/>
  <c r="H624" i="10" s="1"/>
  <c r="F623" i="10"/>
  <c r="H623" i="10" s="1"/>
  <c r="F622" i="10"/>
  <c r="H622" i="10" s="1"/>
  <c r="F621" i="10"/>
  <c r="H621" i="10" s="1"/>
  <c r="F620" i="10"/>
  <c r="H620" i="10" s="1"/>
  <c r="F619" i="10"/>
  <c r="H619" i="10" s="1"/>
  <c r="F618" i="10"/>
  <c r="H618" i="10" s="1"/>
  <c r="F617" i="10"/>
  <c r="H617" i="10" s="1"/>
  <c r="F616" i="10"/>
  <c r="H616" i="10" s="1"/>
  <c r="F615" i="10"/>
  <c r="H615" i="10" s="1"/>
  <c r="F614" i="10"/>
  <c r="H614" i="10" s="1"/>
  <c r="F613" i="10"/>
  <c r="H613" i="10" s="1"/>
  <c r="F612" i="10"/>
  <c r="H612" i="10" s="1"/>
  <c r="F611" i="10"/>
  <c r="H611" i="10" s="1"/>
  <c r="F610" i="10"/>
  <c r="H610" i="10" s="1"/>
  <c r="F609" i="10"/>
  <c r="H609" i="10" s="1"/>
  <c r="F608" i="10"/>
  <c r="H608" i="10" s="1"/>
  <c r="F607" i="10"/>
  <c r="H607" i="10" s="1"/>
  <c r="F606" i="10"/>
  <c r="H606" i="10" s="1"/>
  <c r="F605" i="10"/>
  <c r="H605" i="10" s="1"/>
  <c r="F604" i="10"/>
  <c r="H604" i="10" s="1"/>
  <c r="F603" i="10"/>
  <c r="H603" i="10" s="1"/>
  <c r="F602" i="10"/>
  <c r="H602" i="10" s="1"/>
  <c r="F601" i="10"/>
  <c r="H601" i="10" s="1"/>
  <c r="F600" i="10"/>
  <c r="H600" i="10" s="1"/>
  <c r="F599" i="10"/>
  <c r="H599" i="10" s="1"/>
  <c r="F598" i="10"/>
  <c r="H598" i="10" s="1"/>
  <c r="F597" i="10"/>
  <c r="H597" i="10" s="1"/>
  <c r="F596" i="10"/>
  <c r="H596" i="10" s="1"/>
  <c r="F595" i="10"/>
  <c r="H595" i="10" s="1"/>
  <c r="F594" i="10"/>
  <c r="H594" i="10" s="1"/>
  <c r="F593" i="10"/>
  <c r="H593" i="10" s="1"/>
  <c r="F592" i="10"/>
  <c r="H592" i="10" s="1"/>
  <c r="F591" i="10"/>
  <c r="H591" i="10" s="1"/>
  <c r="F590" i="10"/>
  <c r="H590" i="10" s="1"/>
  <c r="F589" i="10"/>
  <c r="H589" i="10" s="1"/>
  <c r="F588" i="10"/>
  <c r="H588" i="10" s="1"/>
  <c r="F587" i="10"/>
  <c r="H587" i="10" s="1"/>
  <c r="F586" i="10"/>
  <c r="H586" i="10" s="1"/>
  <c r="F585" i="10"/>
  <c r="H585" i="10" s="1"/>
  <c r="F584" i="10"/>
  <c r="H584" i="10" s="1"/>
  <c r="F583" i="10"/>
  <c r="H583" i="10" s="1"/>
  <c r="F582" i="10"/>
  <c r="H582" i="10" s="1"/>
  <c r="F581" i="10"/>
  <c r="H581" i="10" s="1"/>
  <c r="F580" i="10"/>
  <c r="H580" i="10" s="1"/>
  <c r="F579" i="10"/>
  <c r="H579" i="10" s="1"/>
  <c r="F578" i="10"/>
  <c r="H578" i="10" s="1"/>
  <c r="F577" i="10"/>
  <c r="H577" i="10" s="1"/>
  <c r="F576" i="10"/>
  <c r="H576" i="10" s="1"/>
  <c r="F575" i="10"/>
  <c r="H575" i="10" s="1"/>
  <c r="F574" i="10"/>
  <c r="H574" i="10" s="1"/>
  <c r="F573" i="10"/>
  <c r="H573" i="10" s="1"/>
  <c r="F572" i="10"/>
  <c r="H572" i="10" s="1"/>
  <c r="F571" i="10"/>
  <c r="H571" i="10" s="1"/>
  <c r="F570" i="10"/>
  <c r="H570" i="10" s="1"/>
  <c r="F569" i="10"/>
  <c r="H569" i="10" s="1"/>
  <c r="F568" i="10"/>
  <c r="H568" i="10" s="1"/>
  <c r="F567" i="10"/>
  <c r="H567" i="10" s="1"/>
  <c r="F566" i="10"/>
  <c r="H566" i="10" s="1"/>
  <c r="F565" i="10"/>
  <c r="H565" i="10" s="1"/>
  <c r="F564" i="10"/>
  <c r="H564" i="10" s="1"/>
  <c r="F563" i="10"/>
  <c r="H563" i="10" s="1"/>
  <c r="F562" i="10"/>
  <c r="H562" i="10" s="1"/>
  <c r="F561" i="10"/>
  <c r="H561" i="10" s="1"/>
  <c r="F560" i="10"/>
  <c r="H560" i="10" s="1"/>
  <c r="F559" i="10"/>
  <c r="H559" i="10" s="1"/>
  <c r="F558" i="10"/>
  <c r="H558" i="10" s="1"/>
  <c r="F557" i="10"/>
  <c r="H557" i="10" s="1"/>
  <c r="F556" i="10"/>
  <c r="H556" i="10" s="1"/>
  <c r="F555" i="10"/>
  <c r="H555" i="10" s="1"/>
  <c r="F554" i="10"/>
  <c r="H554" i="10" s="1"/>
  <c r="F553" i="10"/>
  <c r="H553" i="10" s="1"/>
  <c r="F552" i="10"/>
  <c r="H552" i="10" s="1"/>
  <c r="F551" i="10"/>
  <c r="H551" i="10" s="1"/>
  <c r="F550" i="10"/>
  <c r="H550" i="10" s="1"/>
  <c r="F549" i="10"/>
  <c r="H549" i="10" s="1"/>
  <c r="F548" i="10"/>
  <c r="H548" i="10" s="1"/>
  <c r="F547" i="10"/>
  <c r="H547" i="10" s="1"/>
  <c r="F546" i="10"/>
  <c r="H546" i="10" s="1"/>
  <c r="F545" i="10"/>
  <c r="H545" i="10" s="1"/>
  <c r="F544" i="10"/>
  <c r="H544" i="10" s="1"/>
  <c r="F543" i="10"/>
  <c r="H543" i="10" s="1"/>
  <c r="F542" i="10"/>
  <c r="H542" i="10" s="1"/>
  <c r="F541" i="10"/>
  <c r="H541" i="10" s="1"/>
  <c r="F540" i="10"/>
  <c r="H540" i="10" s="1"/>
  <c r="F539" i="10"/>
  <c r="H539" i="10" s="1"/>
  <c r="F538" i="10"/>
  <c r="H538" i="10" s="1"/>
  <c r="F537" i="10"/>
  <c r="H537" i="10" s="1"/>
  <c r="F536" i="10"/>
  <c r="H536" i="10" s="1"/>
  <c r="F535" i="10"/>
  <c r="H535" i="10" s="1"/>
  <c r="F534" i="10"/>
  <c r="H534" i="10" s="1"/>
  <c r="F533" i="10"/>
  <c r="H533" i="10" s="1"/>
  <c r="F532" i="10"/>
  <c r="H532" i="10" s="1"/>
  <c r="F531" i="10"/>
  <c r="H531" i="10" s="1"/>
  <c r="F530" i="10"/>
  <c r="H530" i="10" s="1"/>
  <c r="F529" i="10"/>
  <c r="H529" i="10" s="1"/>
  <c r="F528" i="10"/>
  <c r="H528" i="10" s="1"/>
  <c r="F527" i="10"/>
  <c r="H527" i="10" s="1"/>
  <c r="F526" i="10"/>
  <c r="H526" i="10" s="1"/>
  <c r="F525" i="10"/>
  <c r="H525" i="10" s="1"/>
  <c r="F524" i="10"/>
  <c r="H524" i="10" s="1"/>
  <c r="F523" i="10"/>
  <c r="H523" i="10" s="1"/>
  <c r="F522" i="10"/>
  <c r="H522" i="10" s="1"/>
  <c r="F521" i="10"/>
  <c r="H521" i="10" s="1"/>
  <c r="F520" i="10"/>
  <c r="H520" i="10" s="1"/>
  <c r="F519" i="10"/>
  <c r="H519" i="10" s="1"/>
  <c r="F518" i="10"/>
  <c r="H518" i="10" s="1"/>
  <c r="F517" i="10"/>
  <c r="H517" i="10" s="1"/>
  <c r="F516" i="10"/>
  <c r="H516" i="10" s="1"/>
  <c r="F515" i="10"/>
  <c r="H515" i="10" s="1"/>
  <c r="F514" i="10"/>
  <c r="H514" i="10" s="1"/>
  <c r="F513" i="10"/>
  <c r="H513" i="10" s="1"/>
  <c r="F512" i="10"/>
  <c r="H512" i="10" s="1"/>
  <c r="F511" i="10"/>
  <c r="H511" i="10" s="1"/>
  <c r="F510" i="10"/>
  <c r="H510" i="10" s="1"/>
  <c r="F509" i="10"/>
  <c r="H509" i="10" s="1"/>
  <c r="F508" i="10"/>
  <c r="H508" i="10" s="1"/>
  <c r="F507" i="10"/>
  <c r="H507" i="10" s="1"/>
  <c r="F506" i="10"/>
  <c r="H506" i="10" s="1"/>
  <c r="F505" i="10"/>
  <c r="H505" i="10" s="1"/>
  <c r="F504" i="10"/>
  <c r="H504" i="10" s="1"/>
  <c r="F503" i="10"/>
  <c r="H503" i="10" s="1"/>
  <c r="F502" i="10"/>
  <c r="H502" i="10" s="1"/>
  <c r="F501" i="10"/>
  <c r="H501" i="10" s="1"/>
  <c r="F500" i="10"/>
  <c r="H500" i="10" s="1"/>
  <c r="F499" i="10"/>
  <c r="H499" i="10" s="1"/>
  <c r="F498" i="10"/>
  <c r="H498" i="10" s="1"/>
  <c r="F497" i="10"/>
  <c r="H497" i="10" s="1"/>
  <c r="F496" i="10"/>
  <c r="H496" i="10" s="1"/>
  <c r="F495" i="10"/>
  <c r="H495" i="10" s="1"/>
  <c r="F494" i="10"/>
  <c r="H494" i="10" s="1"/>
  <c r="F493" i="10"/>
  <c r="H493" i="10" s="1"/>
  <c r="F492" i="10"/>
  <c r="H492" i="10" s="1"/>
  <c r="F491" i="10"/>
  <c r="H491" i="10" s="1"/>
  <c r="F490" i="10"/>
  <c r="H490" i="10" s="1"/>
  <c r="F489" i="10"/>
  <c r="H489" i="10" s="1"/>
  <c r="F488" i="10"/>
  <c r="H488" i="10" s="1"/>
  <c r="F487" i="10"/>
  <c r="H487" i="10" s="1"/>
  <c r="F486" i="10"/>
  <c r="H486" i="10" s="1"/>
  <c r="F485" i="10"/>
  <c r="H485" i="10" s="1"/>
  <c r="F484" i="10"/>
  <c r="H484" i="10" s="1"/>
  <c r="F483" i="10"/>
  <c r="H483" i="10" s="1"/>
  <c r="F482" i="10"/>
  <c r="H482" i="10" s="1"/>
  <c r="F481" i="10"/>
  <c r="H481" i="10" s="1"/>
  <c r="F480" i="10"/>
  <c r="H480" i="10" s="1"/>
  <c r="F479" i="10"/>
  <c r="H479" i="10" s="1"/>
  <c r="F478" i="10"/>
  <c r="H478" i="10" s="1"/>
  <c r="F477" i="10"/>
  <c r="H477" i="10" s="1"/>
  <c r="F476" i="10"/>
  <c r="H476" i="10" s="1"/>
  <c r="F475" i="10"/>
  <c r="H475" i="10" s="1"/>
  <c r="F474" i="10"/>
  <c r="H474" i="10" s="1"/>
  <c r="F473" i="10"/>
  <c r="H473" i="10" s="1"/>
  <c r="F472" i="10"/>
  <c r="H472" i="10" s="1"/>
  <c r="F471" i="10"/>
  <c r="H471" i="10" s="1"/>
  <c r="F470" i="10"/>
  <c r="H470" i="10" s="1"/>
  <c r="F469" i="10"/>
  <c r="H469" i="10" s="1"/>
  <c r="F468" i="10"/>
  <c r="H468" i="10" s="1"/>
  <c r="F467" i="10"/>
  <c r="H467" i="10" s="1"/>
  <c r="F466" i="10"/>
  <c r="H466" i="10" s="1"/>
  <c r="F465" i="10"/>
  <c r="H465" i="10" s="1"/>
  <c r="F464" i="10"/>
  <c r="H464" i="10" s="1"/>
  <c r="F463" i="10"/>
  <c r="H463" i="10" s="1"/>
  <c r="F462" i="10"/>
  <c r="H462" i="10" s="1"/>
  <c r="F461" i="10"/>
  <c r="H461" i="10" s="1"/>
  <c r="F460" i="10"/>
  <c r="H460" i="10" s="1"/>
  <c r="F459" i="10"/>
  <c r="H459" i="10" s="1"/>
  <c r="F458" i="10"/>
  <c r="H458" i="10" s="1"/>
  <c r="F457" i="10"/>
  <c r="H457" i="10" s="1"/>
  <c r="F456" i="10"/>
  <c r="H456" i="10" s="1"/>
  <c r="F455" i="10"/>
  <c r="H455" i="10" s="1"/>
  <c r="F454" i="10"/>
  <c r="H454" i="10" s="1"/>
  <c r="F453" i="10"/>
  <c r="H453" i="10" s="1"/>
  <c r="F452" i="10"/>
  <c r="H452" i="10" s="1"/>
  <c r="F451" i="10"/>
  <c r="H451" i="10" s="1"/>
  <c r="F450" i="10"/>
  <c r="H450" i="10" s="1"/>
  <c r="F449" i="10"/>
  <c r="H449" i="10" s="1"/>
  <c r="F448" i="10"/>
  <c r="H448" i="10" s="1"/>
  <c r="F447" i="10"/>
  <c r="H447" i="10" s="1"/>
  <c r="F446" i="10"/>
  <c r="H446" i="10" s="1"/>
  <c r="F445" i="10"/>
  <c r="H445" i="10" s="1"/>
  <c r="F444" i="10"/>
  <c r="H444" i="10" s="1"/>
  <c r="F443" i="10"/>
  <c r="H443" i="10" s="1"/>
  <c r="F442" i="10"/>
  <c r="H442" i="10" s="1"/>
  <c r="F441" i="10"/>
  <c r="H441" i="10" s="1"/>
  <c r="F440" i="10"/>
  <c r="H440" i="10" s="1"/>
  <c r="F439" i="10"/>
  <c r="H439" i="10" s="1"/>
  <c r="F438" i="10"/>
  <c r="H438" i="10" s="1"/>
  <c r="F437" i="10"/>
  <c r="H437" i="10" s="1"/>
  <c r="F436" i="10"/>
  <c r="H436" i="10" s="1"/>
  <c r="F435" i="10"/>
  <c r="H435" i="10" s="1"/>
  <c r="F434" i="10"/>
  <c r="H434" i="10" s="1"/>
  <c r="F433" i="10"/>
  <c r="H433" i="10" s="1"/>
  <c r="F432" i="10"/>
  <c r="H432" i="10" s="1"/>
  <c r="F431" i="10"/>
  <c r="H431" i="10" s="1"/>
  <c r="F430" i="10"/>
  <c r="H430" i="10" s="1"/>
  <c r="F429" i="10"/>
  <c r="H429" i="10" s="1"/>
  <c r="F428" i="10"/>
  <c r="H428" i="10" s="1"/>
  <c r="F427" i="10"/>
  <c r="H427" i="10" s="1"/>
  <c r="F426" i="10"/>
  <c r="H426" i="10" s="1"/>
  <c r="F425" i="10"/>
  <c r="H425" i="10" s="1"/>
  <c r="F424" i="10"/>
  <c r="H424" i="10" s="1"/>
  <c r="F423" i="10"/>
  <c r="H423" i="10" s="1"/>
  <c r="F422" i="10"/>
  <c r="H422" i="10" s="1"/>
  <c r="F421" i="10"/>
  <c r="H421" i="10" s="1"/>
  <c r="F420" i="10"/>
  <c r="H420" i="10" s="1"/>
  <c r="F419" i="10"/>
  <c r="H419" i="10" s="1"/>
  <c r="F418" i="10"/>
  <c r="H418" i="10" s="1"/>
  <c r="F417" i="10"/>
  <c r="H417" i="10" s="1"/>
  <c r="F416" i="10"/>
  <c r="H416" i="10" s="1"/>
  <c r="F415" i="10"/>
  <c r="H415" i="10" s="1"/>
  <c r="F414" i="10"/>
  <c r="H414" i="10" s="1"/>
  <c r="F413" i="10"/>
  <c r="H413" i="10" s="1"/>
  <c r="F412" i="10"/>
  <c r="H412" i="10" s="1"/>
  <c r="F411" i="10"/>
  <c r="H411" i="10" s="1"/>
  <c r="F410" i="10"/>
  <c r="H410" i="10" s="1"/>
  <c r="F409" i="10"/>
  <c r="H409" i="10" s="1"/>
  <c r="F408" i="10"/>
  <c r="H408" i="10" s="1"/>
  <c r="F407" i="10"/>
  <c r="H407" i="10" s="1"/>
  <c r="F406" i="10"/>
  <c r="H406" i="10" s="1"/>
  <c r="F405" i="10"/>
  <c r="H405" i="10" s="1"/>
  <c r="F404" i="10"/>
  <c r="H404" i="10" s="1"/>
  <c r="F403" i="10"/>
  <c r="H403" i="10" s="1"/>
  <c r="F402" i="10"/>
  <c r="H402" i="10" s="1"/>
  <c r="F401" i="10"/>
  <c r="H401" i="10" s="1"/>
  <c r="F400" i="10"/>
  <c r="H400" i="10" s="1"/>
  <c r="F399" i="10"/>
  <c r="H399" i="10" s="1"/>
  <c r="F398" i="10"/>
  <c r="H398" i="10" s="1"/>
  <c r="F397" i="10"/>
  <c r="H397" i="10" s="1"/>
  <c r="F396" i="10"/>
  <c r="H396" i="10" s="1"/>
  <c r="F395" i="10"/>
  <c r="H395" i="10" s="1"/>
  <c r="F394" i="10"/>
  <c r="H394" i="10" s="1"/>
  <c r="F393" i="10"/>
  <c r="H393" i="10" s="1"/>
  <c r="F392" i="10"/>
  <c r="H392" i="10" s="1"/>
  <c r="F391" i="10"/>
  <c r="H391" i="10" s="1"/>
  <c r="F390" i="10"/>
  <c r="H390" i="10" s="1"/>
  <c r="F389" i="10"/>
  <c r="H389" i="10" s="1"/>
  <c r="F388" i="10"/>
  <c r="H388" i="10" s="1"/>
  <c r="F387" i="10"/>
  <c r="H387" i="10" s="1"/>
  <c r="F386" i="10"/>
  <c r="H386" i="10" s="1"/>
  <c r="F385" i="10"/>
  <c r="H385" i="10" s="1"/>
  <c r="F384" i="10"/>
  <c r="H384" i="10" s="1"/>
  <c r="F383" i="10"/>
  <c r="H383" i="10" s="1"/>
  <c r="F382" i="10"/>
  <c r="H382" i="10" s="1"/>
  <c r="F381" i="10"/>
  <c r="H381" i="10" s="1"/>
  <c r="F380" i="10"/>
  <c r="H380" i="10" s="1"/>
  <c r="F379" i="10"/>
  <c r="H379" i="10" s="1"/>
  <c r="F378" i="10"/>
  <c r="H378" i="10" s="1"/>
  <c r="F377" i="10"/>
  <c r="H377" i="10" s="1"/>
  <c r="F376" i="10"/>
  <c r="H376" i="10" s="1"/>
  <c r="F375" i="10"/>
  <c r="H375" i="10" s="1"/>
  <c r="F374" i="10"/>
  <c r="H374" i="10" s="1"/>
  <c r="F373" i="10"/>
  <c r="H373" i="10" s="1"/>
  <c r="F372" i="10"/>
  <c r="H372" i="10" s="1"/>
  <c r="F371" i="10"/>
  <c r="H371" i="10" s="1"/>
  <c r="F370" i="10"/>
  <c r="H370" i="10" s="1"/>
  <c r="F369" i="10"/>
  <c r="H369" i="10" s="1"/>
  <c r="F368" i="10"/>
  <c r="H368" i="10" s="1"/>
  <c r="F367" i="10"/>
  <c r="H367" i="10" s="1"/>
  <c r="F366" i="10"/>
  <c r="H366" i="10" s="1"/>
  <c r="F365" i="10"/>
  <c r="H365" i="10" s="1"/>
  <c r="F364" i="10"/>
  <c r="H364" i="10" s="1"/>
  <c r="F363" i="10"/>
  <c r="H363" i="10" s="1"/>
  <c r="F362" i="10"/>
  <c r="H362" i="10" s="1"/>
  <c r="F361" i="10"/>
  <c r="H361" i="10" s="1"/>
  <c r="F360" i="10"/>
  <c r="H360" i="10" s="1"/>
  <c r="F359" i="10"/>
  <c r="H359" i="10" s="1"/>
  <c r="F358" i="10"/>
  <c r="H358" i="10" s="1"/>
  <c r="F357" i="10"/>
  <c r="H357" i="10" s="1"/>
  <c r="F356" i="10"/>
  <c r="H356" i="10" s="1"/>
  <c r="F355" i="10"/>
  <c r="H355" i="10" s="1"/>
  <c r="F354" i="10"/>
  <c r="H354" i="10" s="1"/>
  <c r="F353" i="10"/>
  <c r="H353" i="10" s="1"/>
  <c r="F352" i="10"/>
  <c r="H352" i="10" s="1"/>
  <c r="F351" i="10"/>
  <c r="H351" i="10" s="1"/>
  <c r="F350" i="10"/>
  <c r="H350" i="10" s="1"/>
  <c r="F349" i="10"/>
  <c r="H349" i="10" s="1"/>
  <c r="F348" i="10"/>
  <c r="H348" i="10" s="1"/>
  <c r="F347" i="10"/>
  <c r="H347" i="10" s="1"/>
  <c r="F346" i="10"/>
  <c r="H346" i="10" s="1"/>
  <c r="F345" i="10"/>
  <c r="H345" i="10" s="1"/>
  <c r="F344" i="10"/>
  <c r="H344" i="10" s="1"/>
  <c r="F343" i="10"/>
  <c r="H343" i="10" s="1"/>
  <c r="F342" i="10"/>
  <c r="H342" i="10" s="1"/>
  <c r="F341" i="10"/>
  <c r="H341" i="10" s="1"/>
  <c r="F340" i="10"/>
  <c r="H340" i="10" s="1"/>
  <c r="F339" i="10"/>
  <c r="H339" i="10" s="1"/>
  <c r="F338" i="10"/>
  <c r="H338" i="10" s="1"/>
  <c r="F337" i="10"/>
  <c r="H337" i="10" s="1"/>
  <c r="F336" i="10"/>
  <c r="H336" i="10" s="1"/>
  <c r="F335" i="10"/>
  <c r="H335" i="10" s="1"/>
  <c r="F334" i="10"/>
  <c r="H334" i="10" s="1"/>
  <c r="F333" i="10"/>
  <c r="H333" i="10" s="1"/>
  <c r="F332" i="10"/>
  <c r="H332" i="10" s="1"/>
  <c r="F331" i="10"/>
  <c r="H331" i="10" s="1"/>
  <c r="F330" i="10"/>
  <c r="H330" i="10" s="1"/>
  <c r="F329" i="10"/>
  <c r="H329" i="10" s="1"/>
  <c r="F328" i="10"/>
  <c r="H328" i="10" s="1"/>
  <c r="F327" i="10"/>
  <c r="H327" i="10" s="1"/>
  <c r="F326" i="10"/>
  <c r="H326" i="10" s="1"/>
  <c r="F325" i="10"/>
  <c r="H325" i="10" s="1"/>
  <c r="F324" i="10"/>
  <c r="H324" i="10" s="1"/>
  <c r="F323" i="10"/>
  <c r="H323" i="10" s="1"/>
  <c r="F322" i="10"/>
  <c r="H322" i="10" s="1"/>
  <c r="F321" i="10"/>
  <c r="H321" i="10" s="1"/>
  <c r="F320" i="10"/>
  <c r="H320" i="10" s="1"/>
  <c r="F319" i="10"/>
  <c r="H319" i="10" s="1"/>
  <c r="F318" i="10"/>
  <c r="H318" i="10" s="1"/>
  <c r="F317" i="10"/>
  <c r="H317" i="10" s="1"/>
  <c r="F316" i="10"/>
  <c r="H316" i="10" s="1"/>
  <c r="F315" i="10"/>
  <c r="H315" i="10" s="1"/>
  <c r="F314" i="10"/>
  <c r="H314" i="10" s="1"/>
  <c r="F313" i="10"/>
  <c r="H313" i="10" s="1"/>
  <c r="F312" i="10"/>
  <c r="H312" i="10" s="1"/>
  <c r="F311" i="10"/>
  <c r="H311" i="10" s="1"/>
  <c r="F310" i="10"/>
  <c r="H310" i="10" s="1"/>
  <c r="F309" i="10"/>
  <c r="H309" i="10" s="1"/>
  <c r="F308" i="10"/>
  <c r="H308" i="10" s="1"/>
  <c r="F307" i="10"/>
  <c r="H307" i="10" s="1"/>
  <c r="F306" i="10"/>
  <c r="H306" i="10" s="1"/>
  <c r="F305" i="10"/>
  <c r="H305" i="10" s="1"/>
  <c r="F304" i="10"/>
  <c r="H304" i="10" s="1"/>
  <c r="F303" i="10"/>
  <c r="H303" i="10" s="1"/>
  <c r="F302" i="10"/>
  <c r="H302" i="10" s="1"/>
  <c r="F301" i="10"/>
  <c r="H301" i="10" s="1"/>
  <c r="H300" i="10"/>
  <c r="F300" i="10"/>
  <c r="H299" i="10"/>
  <c r="F299" i="10"/>
  <c r="H298" i="10"/>
  <c r="F298" i="10"/>
  <c r="H297" i="10"/>
  <c r="F297" i="10"/>
  <c r="H296" i="10"/>
  <c r="F296" i="10"/>
  <c r="H295" i="10"/>
  <c r="F295" i="10"/>
  <c r="H294" i="10"/>
  <c r="F294" i="10"/>
  <c r="H293" i="10"/>
  <c r="F293" i="10"/>
  <c r="H292" i="10"/>
  <c r="F292" i="10"/>
  <c r="H291" i="10"/>
  <c r="F291" i="10"/>
  <c r="H290" i="10"/>
  <c r="F290" i="10"/>
  <c r="H289" i="10"/>
  <c r="F289" i="10"/>
  <c r="H288" i="10"/>
  <c r="F288" i="10"/>
  <c r="H287" i="10"/>
  <c r="F287" i="10"/>
  <c r="H286" i="10"/>
  <c r="F286" i="10"/>
  <c r="H285" i="10"/>
  <c r="F285" i="10"/>
  <c r="H284" i="10"/>
  <c r="F284" i="10"/>
  <c r="H283" i="10"/>
  <c r="F283" i="10"/>
  <c r="H282" i="10"/>
  <c r="F282" i="10"/>
  <c r="H281" i="10"/>
  <c r="F281" i="10"/>
  <c r="H280" i="10"/>
  <c r="F280" i="10"/>
  <c r="H279" i="10"/>
  <c r="F279" i="10"/>
  <c r="H278" i="10"/>
  <c r="F278" i="10"/>
  <c r="H277" i="10"/>
  <c r="F277" i="10"/>
  <c r="H276" i="10"/>
  <c r="F276" i="10"/>
  <c r="H275" i="10"/>
  <c r="F275" i="10"/>
  <c r="H274" i="10"/>
  <c r="F274" i="10"/>
  <c r="H273" i="10"/>
  <c r="F273" i="10"/>
  <c r="H272" i="10"/>
  <c r="F272" i="10"/>
  <c r="H271" i="10"/>
  <c r="F271" i="10"/>
  <c r="H270" i="10"/>
  <c r="F270" i="10"/>
  <c r="H269" i="10"/>
  <c r="F269" i="10"/>
  <c r="H268" i="10"/>
  <c r="F268" i="10"/>
  <c r="H267" i="10"/>
  <c r="F267" i="10"/>
  <c r="H266" i="10"/>
  <c r="F266" i="10"/>
  <c r="H265" i="10"/>
  <c r="F265" i="10"/>
  <c r="H264" i="10"/>
  <c r="F264" i="10"/>
  <c r="H263" i="10"/>
  <c r="F263" i="10"/>
  <c r="H262" i="10"/>
  <c r="F262" i="10"/>
  <c r="H261" i="10"/>
  <c r="F261" i="10"/>
  <c r="H260" i="10"/>
  <c r="F260" i="10"/>
  <c r="H259" i="10"/>
  <c r="F259" i="10"/>
  <c r="H258" i="10"/>
  <c r="F258" i="10"/>
  <c r="H257" i="10"/>
  <c r="F257" i="10"/>
  <c r="H256" i="10"/>
  <c r="F256" i="10"/>
  <c r="H255" i="10"/>
  <c r="F255" i="10"/>
  <c r="H254" i="10"/>
  <c r="F254" i="10"/>
  <c r="H253" i="10"/>
  <c r="F253" i="10"/>
  <c r="H252" i="10"/>
  <c r="F252" i="10"/>
  <c r="H251" i="10"/>
  <c r="F251" i="10"/>
  <c r="H250" i="10"/>
  <c r="F250" i="10"/>
  <c r="H249" i="10"/>
  <c r="F249" i="10"/>
  <c r="H248" i="10"/>
  <c r="F248" i="10"/>
  <c r="H247" i="10"/>
  <c r="F247" i="10"/>
  <c r="H246" i="10"/>
  <c r="F246" i="10"/>
  <c r="H245" i="10"/>
  <c r="F245" i="10"/>
  <c r="H244" i="10"/>
  <c r="F244" i="10"/>
  <c r="H243" i="10"/>
  <c r="F243" i="10"/>
  <c r="H242" i="10"/>
  <c r="F242" i="10"/>
  <c r="H241" i="10"/>
  <c r="F241" i="10"/>
  <c r="H240" i="10"/>
  <c r="F240" i="10"/>
  <c r="H239" i="10"/>
  <c r="F239" i="10"/>
  <c r="H238" i="10"/>
  <c r="F238" i="10"/>
  <c r="H237" i="10"/>
  <c r="F237" i="10"/>
  <c r="H236" i="10"/>
  <c r="F236" i="10"/>
  <c r="H235" i="10"/>
  <c r="F235" i="10"/>
  <c r="H234" i="10"/>
  <c r="F234" i="10"/>
  <c r="H233" i="10"/>
  <c r="F233" i="10"/>
  <c r="H232" i="10"/>
  <c r="F232" i="10"/>
  <c r="H231" i="10"/>
  <c r="F231" i="10"/>
  <c r="H230" i="10"/>
  <c r="F230" i="10"/>
  <c r="H229" i="10"/>
  <c r="F229" i="10"/>
  <c r="H228" i="10"/>
  <c r="F228" i="10"/>
  <c r="H227" i="10"/>
  <c r="F227" i="10"/>
  <c r="H226" i="10"/>
  <c r="F226" i="10"/>
  <c r="H225" i="10"/>
  <c r="F225" i="10"/>
  <c r="H224" i="10"/>
  <c r="F224" i="10"/>
  <c r="H223" i="10"/>
  <c r="F223" i="10"/>
  <c r="H222" i="10"/>
  <c r="F222" i="10"/>
  <c r="H221" i="10"/>
  <c r="F221" i="10"/>
  <c r="H220" i="10"/>
  <c r="F220" i="10"/>
  <c r="H219" i="10"/>
  <c r="F219" i="10"/>
  <c r="H218" i="10"/>
  <c r="F218" i="10"/>
  <c r="H217" i="10"/>
  <c r="F217" i="10"/>
  <c r="H216" i="10"/>
  <c r="F216" i="10"/>
  <c r="H215" i="10"/>
  <c r="F215" i="10"/>
  <c r="H214" i="10"/>
  <c r="F214" i="10"/>
  <c r="H213" i="10"/>
  <c r="F213" i="10"/>
  <c r="H212" i="10"/>
  <c r="F212" i="10"/>
  <c r="H211" i="10"/>
  <c r="F211" i="10"/>
  <c r="H210" i="10"/>
  <c r="F210" i="10"/>
  <c r="H209" i="10"/>
  <c r="F209" i="10"/>
  <c r="H208" i="10"/>
  <c r="F208" i="10"/>
  <c r="H207" i="10"/>
  <c r="F207" i="10"/>
  <c r="H206" i="10"/>
  <c r="F206" i="10"/>
  <c r="H205" i="10"/>
  <c r="F205" i="10"/>
  <c r="H204" i="10"/>
  <c r="F204" i="10"/>
  <c r="H203" i="10"/>
  <c r="F203" i="10"/>
  <c r="H202" i="10"/>
  <c r="F202" i="10"/>
  <c r="H201" i="10"/>
  <c r="F201" i="10"/>
  <c r="H200" i="10"/>
  <c r="F200" i="10"/>
  <c r="H199" i="10"/>
  <c r="F199" i="10"/>
  <c r="H198" i="10"/>
  <c r="F198" i="10"/>
  <c r="H197" i="10"/>
  <c r="F197" i="10"/>
  <c r="H196" i="10"/>
  <c r="F196" i="10"/>
  <c r="H195" i="10"/>
  <c r="F195" i="10"/>
  <c r="H194" i="10"/>
  <c r="F194" i="10"/>
  <c r="H193" i="10"/>
  <c r="F193" i="10"/>
  <c r="H192" i="10"/>
  <c r="F192" i="10"/>
  <c r="H191" i="10"/>
  <c r="F191" i="10"/>
  <c r="H190" i="10"/>
  <c r="F190" i="10"/>
  <c r="H189" i="10"/>
  <c r="F189" i="10"/>
  <c r="H188" i="10"/>
  <c r="F188" i="10"/>
  <c r="H187" i="10"/>
  <c r="F187" i="10"/>
  <c r="H186" i="10"/>
  <c r="F186" i="10"/>
  <c r="H185" i="10"/>
  <c r="F185" i="10"/>
  <c r="H184" i="10"/>
  <c r="F184" i="10"/>
  <c r="H183" i="10"/>
  <c r="F183" i="10"/>
  <c r="H182" i="10"/>
  <c r="F182" i="10"/>
  <c r="H181" i="10"/>
  <c r="F181" i="10"/>
  <c r="H180" i="10"/>
  <c r="F180" i="10"/>
  <c r="H179" i="10"/>
  <c r="F179" i="10"/>
  <c r="H178" i="10"/>
  <c r="F178" i="10"/>
  <c r="H177" i="10"/>
  <c r="F177" i="10"/>
  <c r="H176" i="10"/>
  <c r="F176" i="10"/>
  <c r="H175" i="10"/>
  <c r="F175" i="10"/>
  <c r="H174" i="10"/>
  <c r="F174" i="10"/>
  <c r="H173" i="10"/>
  <c r="F173" i="10"/>
  <c r="H172" i="10"/>
  <c r="F172" i="10"/>
  <c r="H171" i="10"/>
  <c r="F171" i="10"/>
  <c r="H170" i="10"/>
  <c r="F170" i="10"/>
  <c r="H169" i="10"/>
  <c r="F169" i="10"/>
  <c r="H168" i="10"/>
  <c r="F168" i="10"/>
  <c r="H167" i="10"/>
  <c r="F167" i="10"/>
  <c r="H166" i="10"/>
  <c r="F166" i="10"/>
  <c r="H165" i="10"/>
  <c r="F165" i="10"/>
  <c r="H164" i="10"/>
  <c r="F164" i="10"/>
  <c r="H163" i="10"/>
  <c r="F163" i="10"/>
  <c r="H162" i="10"/>
  <c r="F162" i="10"/>
  <c r="H161" i="10"/>
  <c r="F161" i="10"/>
  <c r="H160" i="10"/>
  <c r="F160" i="10"/>
  <c r="H159" i="10"/>
  <c r="F159" i="10"/>
  <c r="H158" i="10"/>
  <c r="F158" i="10"/>
  <c r="H157" i="10"/>
  <c r="F157" i="10"/>
  <c r="H156" i="10"/>
  <c r="F156" i="10"/>
  <c r="H155" i="10"/>
  <c r="F155" i="10"/>
  <c r="H154" i="10"/>
  <c r="F154" i="10"/>
  <c r="H153" i="10"/>
  <c r="F153" i="10"/>
  <c r="H152" i="10"/>
  <c r="F152" i="10"/>
  <c r="H151" i="10"/>
  <c r="F151" i="10"/>
  <c r="H150" i="10"/>
  <c r="F150" i="10"/>
  <c r="H149" i="10"/>
  <c r="F149" i="10"/>
  <c r="H148" i="10"/>
  <c r="F148" i="10"/>
  <c r="H147" i="10"/>
  <c r="F147" i="10"/>
  <c r="H146" i="10"/>
  <c r="F146" i="10"/>
  <c r="H145" i="10"/>
  <c r="F145" i="10"/>
  <c r="H144" i="10"/>
  <c r="F144" i="10"/>
  <c r="H143" i="10"/>
  <c r="F143" i="10"/>
  <c r="H142" i="10"/>
  <c r="F142" i="10"/>
  <c r="H141" i="10"/>
  <c r="F141" i="10"/>
  <c r="H140" i="10"/>
  <c r="F140" i="10"/>
  <c r="H139" i="10"/>
  <c r="F139" i="10"/>
  <c r="H138" i="10"/>
  <c r="F138" i="10"/>
  <c r="H137" i="10"/>
  <c r="F137" i="10"/>
  <c r="H136" i="10"/>
  <c r="F136" i="10"/>
  <c r="H135" i="10"/>
  <c r="F135" i="10"/>
  <c r="H134" i="10"/>
  <c r="F134" i="10"/>
  <c r="H133" i="10"/>
  <c r="F133" i="10"/>
  <c r="H132" i="10"/>
  <c r="F132" i="10"/>
  <c r="H131" i="10"/>
  <c r="F131" i="10"/>
  <c r="H130" i="10"/>
  <c r="F130" i="10"/>
  <c r="H129" i="10"/>
  <c r="F129" i="10"/>
  <c r="H128" i="10"/>
  <c r="F128" i="10"/>
  <c r="H127" i="10"/>
  <c r="F127" i="10"/>
  <c r="H126" i="10"/>
  <c r="F126" i="10"/>
  <c r="H125" i="10"/>
  <c r="F125" i="10"/>
  <c r="H124" i="10"/>
  <c r="F124" i="10"/>
  <c r="H123" i="10"/>
  <c r="F123" i="10"/>
  <c r="H122" i="10"/>
  <c r="F122" i="10"/>
  <c r="H121" i="10"/>
  <c r="F121" i="10"/>
  <c r="H120" i="10"/>
  <c r="F120" i="10"/>
  <c r="H119" i="10"/>
  <c r="F119" i="10"/>
  <c r="H118" i="10"/>
  <c r="F118" i="10"/>
  <c r="H117" i="10"/>
  <c r="F117" i="10"/>
  <c r="H116" i="10"/>
  <c r="F116" i="10"/>
  <c r="H115" i="10"/>
  <c r="F115" i="10"/>
  <c r="H114" i="10"/>
  <c r="F114" i="10"/>
  <c r="H113" i="10"/>
  <c r="F113" i="10"/>
  <c r="H112" i="10"/>
  <c r="F112" i="10"/>
  <c r="H111" i="10"/>
  <c r="F111" i="10"/>
  <c r="H110" i="10"/>
  <c r="F110" i="10"/>
  <c r="H109" i="10"/>
  <c r="F109" i="10"/>
  <c r="H108" i="10"/>
  <c r="F108" i="10"/>
  <c r="H107" i="10"/>
  <c r="F107" i="10"/>
  <c r="H106" i="10"/>
  <c r="F106" i="10"/>
  <c r="H105" i="10"/>
  <c r="F105" i="10"/>
  <c r="H104" i="10"/>
  <c r="F104" i="10"/>
  <c r="H103" i="10"/>
  <c r="F103" i="10"/>
  <c r="H102" i="10"/>
  <c r="F102" i="10"/>
  <c r="H101" i="10"/>
  <c r="F101" i="10"/>
  <c r="H100" i="10"/>
  <c r="F100" i="10"/>
  <c r="H99" i="10"/>
  <c r="F99" i="10"/>
  <c r="H98" i="10"/>
  <c r="F98" i="10"/>
  <c r="H97" i="10"/>
  <c r="F97" i="10"/>
  <c r="H96" i="10"/>
  <c r="F96" i="10"/>
  <c r="H95" i="10"/>
  <c r="F95" i="10"/>
  <c r="H94" i="10"/>
  <c r="F94" i="10"/>
  <c r="H93" i="10"/>
  <c r="F93" i="10"/>
  <c r="H92" i="10"/>
  <c r="F92" i="10"/>
  <c r="H91" i="10"/>
  <c r="F91" i="10"/>
  <c r="H90" i="10"/>
  <c r="F90" i="10"/>
  <c r="H89" i="10"/>
  <c r="F89" i="10"/>
  <c r="H88" i="10"/>
  <c r="F88" i="10"/>
  <c r="H87" i="10"/>
  <c r="F87" i="10"/>
  <c r="H86" i="10"/>
  <c r="F86" i="10"/>
  <c r="H85" i="10"/>
  <c r="F85" i="10"/>
  <c r="H84" i="10"/>
  <c r="F84" i="10"/>
  <c r="H83" i="10"/>
  <c r="F83" i="10"/>
  <c r="H82" i="10"/>
  <c r="F82" i="10"/>
  <c r="H81" i="10"/>
  <c r="F81" i="10"/>
  <c r="H80" i="10"/>
  <c r="F80" i="10"/>
  <c r="H79" i="10"/>
  <c r="F79" i="10"/>
  <c r="H78" i="10"/>
  <c r="F78" i="10"/>
  <c r="H77" i="10"/>
  <c r="F77" i="10"/>
  <c r="H76" i="10"/>
  <c r="F76" i="10"/>
  <c r="H75" i="10"/>
  <c r="F75" i="10"/>
  <c r="H74" i="10"/>
  <c r="F74" i="10"/>
  <c r="H73" i="10"/>
  <c r="F73" i="10"/>
  <c r="H72" i="10"/>
  <c r="F72" i="10"/>
  <c r="H71" i="10"/>
  <c r="F71" i="10"/>
  <c r="H70" i="10"/>
  <c r="F70" i="10"/>
  <c r="H69" i="10"/>
  <c r="F69" i="10"/>
  <c r="H68" i="10"/>
  <c r="F68" i="10"/>
  <c r="H67" i="10"/>
  <c r="F67" i="10"/>
  <c r="H66" i="10"/>
  <c r="F66" i="10"/>
  <c r="H65" i="10"/>
  <c r="F65" i="10"/>
  <c r="H64" i="10"/>
  <c r="F64" i="10"/>
  <c r="H63" i="10"/>
  <c r="F63" i="10"/>
  <c r="H62" i="10"/>
  <c r="F62" i="10"/>
  <c r="H61" i="10"/>
  <c r="F61" i="10"/>
  <c r="H60" i="10"/>
  <c r="F60" i="10"/>
  <c r="H59" i="10"/>
  <c r="F59" i="10"/>
  <c r="H58" i="10"/>
  <c r="F58" i="10"/>
  <c r="H57" i="10"/>
  <c r="F57" i="10"/>
  <c r="H56" i="10"/>
  <c r="F56" i="10"/>
  <c r="H55" i="10"/>
  <c r="F55" i="10"/>
  <c r="H54" i="10"/>
  <c r="F54" i="10"/>
  <c r="H53" i="10"/>
  <c r="F53" i="10"/>
  <c r="H52" i="10"/>
  <c r="F52" i="10"/>
  <c r="H51" i="10"/>
  <c r="F51" i="10"/>
  <c r="H50" i="10"/>
  <c r="F50" i="10"/>
  <c r="H49" i="10"/>
  <c r="F49" i="10"/>
  <c r="H48" i="10"/>
  <c r="F48" i="10"/>
  <c r="H47" i="10"/>
  <c r="F47" i="10"/>
  <c r="H46" i="10"/>
  <c r="F46" i="10"/>
  <c r="H45" i="10"/>
  <c r="F45" i="10"/>
  <c r="H44" i="10"/>
  <c r="F44" i="10"/>
  <c r="H43" i="10"/>
  <c r="F43" i="10"/>
  <c r="H42" i="10"/>
  <c r="F42" i="10"/>
  <c r="H41" i="10"/>
  <c r="F41" i="10"/>
  <c r="H40" i="10"/>
  <c r="F40" i="10"/>
  <c r="H39" i="10"/>
  <c r="F39" i="10"/>
  <c r="H38" i="10"/>
  <c r="F38" i="10"/>
  <c r="H37" i="10"/>
  <c r="F37" i="10"/>
  <c r="H36" i="10"/>
  <c r="F36" i="10"/>
  <c r="H35" i="10"/>
  <c r="F35" i="10"/>
  <c r="H34" i="10"/>
  <c r="F34" i="10"/>
  <c r="H33" i="10"/>
  <c r="F33" i="10"/>
  <c r="H32" i="10"/>
  <c r="F32" i="10"/>
  <c r="H31" i="10"/>
  <c r="F31" i="10"/>
  <c r="H30" i="10"/>
  <c r="F30" i="10"/>
  <c r="H29" i="10"/>
  <c r="F29" i="10"/>
  <c r="H28" i="10"/>
  <c r="F28" i="10"/>
  <c r="H27" i="10"/>
  <c r="F27" i="10"/>
  <c r="H26" i="10"/>
  <c r="F26" i="10"/>
  <c r="H25" i="10"/>
  <c r="F25" i="10"/>
  <c r="H24" i="10"/>
  <c r="F24" i="10"/>
  <c r="H23" i="10"/>
  <c r="F23" i="10"/>
  <c r="H22" i="10"/>
  <c r="F22" i="10"/>
  <c r="H21" i="10"/>
  <c r="F21" i="10"/>
  <c r="H20" i="10"/>
  <c r="F20" i="10"/>
  <c r="H19" i="10"/>
  <c r="F19" i="10"/>
  <c r="H18" i="10"/>
  <c r="F18" i="10"/>
  <c r="H17" i="10"/>
  <c r="F17" i="10"/>
  <c r="H16" i="10"/>
  <c r="F16" i="10"/>
  <c r="H15" i="10"/>
  <c r="F15" i="10"/>
  <c r="H14" i="10"/>
  <c r="F14" i="10"/>
  <c r="H13" i="10"/>
  <c r="F13" i="10"/>
  <c r="H12" i="10"/>
  <c r="F12" i="10"/>
  <c r="H11" i="10"/>
  <c r="F11" i="10"/>
  <c r="H10" i="10"/>
  <c r="F10" i="10"/>
  <c r="H9" i="10"/>
  <c r="F9" i="10"/>
  <c r="H8" i="10"/>
  <c r="F8" i="10"/>
  <c r="C796" i="10" s="1"/>
  <c r="H7" i="10"/>
  <c r="F7" i="10"/>
  <c r="D123" i="7"/>
  <c r="C123" i="7"/>
  <c r="E121" i="7"/>
  <c r="B121" i="7"/>
  <c r="E120" i="7"/>
  <c r="B120" i="7"/>
  <c r="E119" i="7"/>
  <c r="B119" i="7"/>
  <c r="E118" i="7"/>
  <c r="B118" i="7"/>
  <c r="E117" i="7"/>
  <c r="B117" i="7"/>
  <c r="E116" i="7"/>
  <c r="B116" i="7"/>
  <c r="E115" i="7"/>
  <c r="B115" i="7"/>
  <c r="E114" i="7"/>
  <c r="B114" i="7"/>
  <c r="E113" i="7"/>
  <c r="B113" i="7"/>
  <c r="E112" i="7"/>
  <c r="B112" i="7"/>
  <c r="E111" i="7"/>
  <c r="B111" i="7"/>
  <c r="E110" i="7"/>
  <c r="B110" i="7"/>
  <c r="E109" i="7"/>
  <c r="B109" i="7"/>
  <c r="E108" i="7"/>
  <c r="B108" i="7"/>
  <c r="E107" i="7"/>
  <c r="B107" i="7"/>
  <c r="E106" i="7"/>
  <c r="B106" i="7"/>
  <c r="E105" i="7"/>
  <c r="B105" i="7"/>
  <c r="E104" i="7"/>
  <c r="B104" i="7"/>
  <c r="E103" i="7"/>
  <c r="B103" i="7"/>
  <c r="E102" i="7"/>
  <c r="B102" i="7"/>
  <c r="E101" i="7"/>
  <c r="B101" i="7"/>
  <c r="E100" i="7"/>
  <c r="B100" i="7"/>
  <c r="E99" i="7"/>
  <c r="B99" i="7"/>
  <c r="E98" i="7"/>
  <c r="B98" i="7"/>
  <c r="E97" i="7"/>
  <c r="B97" i="7"/>
  <c r="E96" i="7"/>
  <c r="B96" i="7"/>
  <c r="E95" i="7"/>
  <c r="B95" i="7"/>
  <c r="E94" i="7"/>
  <c r="B94" i="7"/>
  <c r="E93" i="7"/>
  <c r="B93" i="7"/>
  <c r="E92" i="7"/>
  <c r="B92" i="7"/>
  <c r="E91" i="7"/>
  <c r="B91" i="7"/>
  <c r="E90" i="7"/>
  <c r="B90" i="7"/>
  <c r="E89" i="7"/>
  <c r="B89" i="7"/>
  <c r="E88" i="7"/>
  <c r="B88" i="7"/>
  <c r="E87" i="7"/>
  <c r="B87" i="7"/>
  <c r="E86" i="7"/>
  <c r="B86" i="7"/>
  <c r="E85" i="7"/>
  <c r="B85" i="7"/>
  <c r="E84" i="7"/>
  <c r="B84" i="7"/>
  <c r="E83" i="7"/>
  <c r="B83" i="7"/>
  <c r="E82" i="7"/>
  <c r="B82" i="7"/>
  <c r="E81" i="7"/>
  <c r="B81" i="7"/>
  <c r="E80" i="7"/>
  <c r="B80" i="7"/>
  <c r="E79" i="7"/>
  <c r="B79" i="7"/>
  <c r="E78" i="7"/>
  <c r="B78" i="7"/>
  <c r="E77" i="7"/>
  <c r="B77" i="7"/>
  <c r="E76" i="7"/>
  <c r="B76" i="7"/>
  <c r="E75" i="7"/>
  <c r="B75" i="7"/>
  <c r="E74" i="7"/>
  <c r="B74" i="7"/>
  <c r="E73" i="7"/>
  <c r="B73" i="7"/>
  <c r="E72" i="7"/>
  <c r="B72" i="7"/>
  <c r="E71" i="7"/>
  <c r="B71" i="7"/>
  <c r="E70" i="7"/>
  <c r="B70" i="7"/>
  <c r="E69" i="7"/>
  <c r="B69" i="7"/>
  <c r="E68" i="7"/>
  <c r="B68" i="7"/>
  <c r="E67" i="7"/>
  <c r="B67" i="7"/>
  <c r="E66" i="7"/>
  <c r="B66" i="7"/>
  <c r="E65" i="7"/>
  <c r="B65" i="7"/>
  <c r="E64" i="7"/>
  <c r="B64" i="7"/>
  <c r="E63" i="7"/>
  <c r="B63" i="7"/>
  <c r="E62" i="7"/>
  <c r="B62" i="7"/>
  <c r="E61" i="7"/>
  <c r="B61" i="7"/>
  <c r="E60" i="7"/>
  <c r="B60" i="7"/>
  <c r="E59" i="7"/>
  <c r="B59" i="7"/>
  <c r="E58" i="7"/>
  <c r="B58" i="7"/>
  <c r="E57" i="7"/>
  <c r="B57" i="7"/>
  <c r="E56" i="7"/>
  <c r="B56" i="7"/>
  <c r="E55" i="7"/>
  <c r="B55" i="7"/>
  <c r="E54" i="7"/>
  <c r="B54" i="7"/>
  <c r="E53" i="7"/>
  <c r="B53" i="7"/>
  <c r="E52" i="7"/>
  <c r="B52" i="7"/>
  <c r="E51" i="7"/>
  <c r="B51" i="7"/>
  <c r="E50" i="7"/>
  <c r="B50" i="7"/>
  <c r="E49" i="7"/>
  <c r="B49" i="7"/>
  <c r="E48" i="7"/>
  <c r="B48" i="7"/>
  <c r="E47" i="7"/>
  <c r="B47" i="7"/>
  <c r="E46" i="7"/>
  <c r="B46" i="7"/>
  <c r="E45" i="7"/>
  <c r="B45" i="7"/>
  <c r="E44" i="7"/>
  <c r="B44" i="7"/>
  <c r="E43" i="7"/>
  <c r="B43" i="7"/>
  <c r="E42" i="7"/>
  <c r="B42" i="7"/>
  <c r="E41" i="7"/>
  <c r="B41" i="7"/>
  <c r="E40" i="7"/>
  <c r="B40" i="7"/>
  <c r="E39" i="7"/>
  <c r="B39" i="7"/>
  <c r="E38" i="7"/>
  <c r="B38" i="7"/>
  <c r="E37" i="7"/>
  <c r="B37" i="7"/>
  <c r="E36" i="7"/>
  <c r="B36" i="7"/>
  <c r="E35" i="7"/>
  <c r="B35" i="7"/>
  <c r="E34" i="7"/>
  <c r="B34" i="7"/>
  <c r="E33" i="7"/>
  <c r="B33" i="7"/>
  <c r="E32" i="7"/>
  <c r="B32" i="7"/>
  <c r="E31" i="7"/>
  <c r="B31" i="7"/>
  <c r="E30" i="7"/>
  <c r="B30" i="7"/>
  <c r="E29" i="7"/>
  <c r="B29" i="7"/>
  <c r="E28" i="7"/>
  <c r="B28" i="7"/>
  <c r="E27" i="7"/>
  <c r="B27" i="7"/>
  <c r="E26" i="7"/>
  <c r="B26" i="7"/>
  <c r="E25" i="7"/>
  <c r="B25" i="7"/>
  <c r="E24" i="7"/>
  <c r="B24" i="7"/>
  <c r="E23" i="7"/>
  <c r="B23" i="7"/>
  <c r="E22" i="7"/>
  <c r="B22" i="7"/>
  <c r="E21" i="7"/>
  <c r="B21" i="7"/>
  <c r="E20" i="7"/>
  <c r="B20" i="7"/>
  <c r="E19" i="7"/>
  <c r="B19" i="7"/>
  <c r="E18" i="7"/>
  <c r="B18" i="7"/>
  <c r="E17" i="7"/>
  <c r="B17" i="7"/>
  <c r="E16" i="7"/>
  <c r="B16" i="7"/>
  <c r="E15" i="7"/>
  <c r="B15" i="7"/>
  <c r="E14" i="7"/>
  <c r="B14" i="7"/>
  <c r="E13" i="7"/>
  <c r="B13" i="7"/>
  <c r="E12" i="7"/>
  <c r="B12" i="7"/>
  <c r="E11" i="7"/>
  <c r="B11" i="7"/>
  <c r="E10" i="7"/>
  <c r="B10" i="7"/>
  <c r="E9" i="7"/>
  <c r="B9" i="7"/>
  <c r="E8" i="7"/>
  <c r="B8" i="7"/>
  <c r="E7" i="7"/>
  <c r="B7" i="7"/>
  <c r="E6" i="7"/>
  <c r="B6" i="7"/>
  <c r="E5" i="7"/>
  <c r="B5" i="7"/>
  <c r="H33" i="6"/>
  <c r="F33" i="6"/>
  <c r="E33" i="6"/>
  <c r="K31" i="6"/>
  <c r="I31" i="6"/>
  <c r="J31" i="6" s="1"/>
  <c r="L31" i="6" s="1"/>
  <c r="G31" i="6"/>
  <c r="K30" i="6"/>
  <c r="I30" i="6"/>
  <c r="J30" i="6" s="1"/>
  <c r="L30" i="6" s="1"/>
  <c r="G30" i="6"/>
  <c r="K29" i="6"/>
  <c r="I29" i="6"/>
  <c r="J29" i="6" s="1"/>
  <c r="L29" i="6" s="1"/>
  <c r="G29" i="6"/>
  <c r="K28" i="6"/>
  <c r="G28" i="6"/>
  <c r="I28" i="6" s="1"/>
  <c r="J28" i="6" s="1"/>
  <c r="K27" i="6"/>
  <c r="G27" i="6"/>
  <c r="K26" i="6"/>
  <c r="G26" i="6"/>
  <c r="K25" i="6"/>
  <c r="G25" i="6"/>
  <c r="I25" i="6" s="1"/>
  <c r="J25" i="6" s="1"/>
  <c r="K24" i="6"/>
  <c r="G24" i="6"/>
  <c r="I24" i="6" s="1"/>
  <c r="J24" i="6" s="1"/>
  <c r="L24" i="6" s="1"/>
  <c r="K23" i="6"/>
  <c r="I23" i="6"/>
  <c r="J23" i="6" s="1"/>
  <c r="L23" i="6" s="1"/>
  <c r="G23" i="6"/>
  <c r="K22" i="6"/>
  <c r="I22" i="6"/>
  <c r="J22" i="6" s="1"/>
  <c r="L22" i="6" s="1"/>
  <c r="G22" i="6"/>
  <c r="K21" i="6"/>
  <c r="I21" i="6"/>
  <c r="J21" i="6" s="1"/>
  <c r="L21" i="6" s="1"/>
  <c r="G21" i="6"/>
  <c r="K20" i="6"/>
  <c r="G20" i="6"/>
  <c r="I20" i="6" s="1"/>
  <c r="J20" i="6" s="1"/>
  <c r="K19" i="6"/>
  <c r="G19" i="6"/>
  <c r="K18" i="6"/>
  <c r="G18" i="6"/>
  <c r="K17" i="6"/>
  <c r="G17" i="6"/>
  <c r="I17" i="6" s="1"/>
  <c r="J17" i="6" s="1"/>
  <c r="K16" i="6"/>
  <c r="G16" i="6"/>
  <c r="I16" i="6" s="1"/>
  <c r="J16" i="6" s="1"/>
  <c r="L16" i="6" s="1"/>
  <c r="K15" i="6"/>
  <c r="I15" i="6"/>
  <c r="J15" i="6" s="1"/>
  <c r="L15" i="6" s="1"/>
  <c r="G15" i="6"/>
  <c r="K14" i="6"/>
  <c r="I14" i="6"/>
  <c r="J14" i="6" s="1"/>
  <c r="L14" i="6" s="1"/>
  <c r="G14" i="6"/>
  <c r="K13" i="6"/>
  <c r="I13" i="6"/>
  <c r="J13" i="6" s="1"/>
  <c r="L13" i="6" s="1"/>
  <c r="G13" i="6"/>
  <c r="K12" i="6"/>
  <c r="G12" i="6"/>
  <c r="I12" i="6" s="1"/>
  <c r="J12" i="6" s="1"/>
  <c r="K11" i="6"/>
  <c r="G11" i="6"/>
  <c r="K10" i="6"/>
  <c r="G10" i="6"/>
  <c r="K9" i="6"/>
  <c r="G9" i="6"/>
  <c r="I9" i="6" s="1"/>
  <c r="J9" i="6" s="1"/>
  <c r="K8" i="6"/>
  <c r="G8" i="6"/>
  <c r="I8" i="6" s="1"/>
  <c r="J8" i="6" s="1"/>
  <c r="L8" i="6" s="1"/>
  <c r="K7" i="6"/>
  <c r="G7" i="6"/>
  <c r="I7" i="6" s="1"/>
  <c r="J7" i="6" s="1"/>
  <c r="L7" i="6" s="1"/>
  <c r="K6" i="6"/>
  <c r="G6" i="6"/>
  <c r="I6" i="6" s="1"/>
  <c r="J6" i="6" s="1"/>
  <c r="L6" i="6" s="1"/>
  <c r="K5" i="6"/>
  <c r="G5" i="6"/>
  <c r="G33" i="6" s="1"/>
  <c r="I121" i="5"/>
  <c r="H121" i="5"/>
  <c r="E121" i="5"/>
  <c r="D121" i="5"/>
  <c r="C121" i="5"/>
  <c r="B121" i="5"/>
  <c r="I120" i="5"/>
  <c r="H120" i="5"/>
  <c r="E120" i="5"/>
  <c r="D120" i="5"/>
  <c r="C120" i="5"/>
  <c r="B120" i="5"/>
  <c r="I119" i="5"/>
  <c r="J119" i="5" s="1"/>
  <c r="E119" i="5"/>
  <c r="D119" i="5"/>
  <c r="C119" i="5"/>
  <c r="B119" i="5"/>
  <c r="I118" i="5"/>
  <c r="H118" i="5"/>
  <c r="E118" i="5"/>
  <c r="D118" i="5"/>
  <c r="C118" i="5"/>
  <c r="B118" i="5"/>
  <c r="I117" i="5"/>
  <c r="H117" i="5"/>
  <c r="E117" i="5"/>
  <c r="D117" i="5"/>
  <c r="C117" i="5"/>
  <c r="B117" i="5"/>
  <c r="I116" i="5"/>
  <c r="H116" i="5"/>
  <c r="E116" i="5"/>
  <c r="D116" i="5"/>
  <c r="C116" i="5"/>
  <c r="B116" i="5"/>
  <c r="I115" i="5"/>
  <c r="H115" i="5"/>
  <c r="E115" i="5"/>
  <c r="D115" i="5"/>
  <c r="C115" i="5"/>
  <c r="B115" i="5"/>
  <c r="I114" i="5"/>
  <c r="H114" i="5"/>
  <c r="E114" i="5"/>
  <c r="D114" i="5"/>
  <c r="C114" i="5"/>
  <c r="B114" i="5"/>
  <c r="I113" i="5"/>
  <c r="H113" i="5"/>
  <c r="E113" i="5"/>
  <c r="D113" i="5"/>
  <c r="C113" i="5"/>
  <c r="B113" i="5"/>
  <c r="I112" i="5"/>
  <c r="H112" i="5"/>
  <c r="E112" i="5"/>
  <c r="D112" i="5"/>
  <c r="C112" i="5"/>
  <c r="B112" i="5"/>
  <c r="E111" i="5"/>
  <c r="I111" i="5" s="1"/>
  <c r="D111" i="5"/>
  <c r="H111" i="5" s="1"/>
  <c r="C111" i="5"/>
  <c r="B111" i="5"/>
  <c r="E110" i="5"/>
  <c r="I110" i="5" s="1"/>
  <c r="D110" i="5"/>
  <c r="H110" i="5" s="1"/>
  <c r="C110" i="5"/>
  <c r="B110" i="5"/>
  <c r="E109" i="5"/>
  <c r="I109" i="5" s="1"/>
  <c r="D109" i="5"/>
  <c r="H109" i="5" s="1"/>
  <c r="C109" i="5"/>
  <c r="B109" i="5"/>
  <c r="E108" i="5"/>
  <c r="I108" i="5" s="1"/>
  <c r="D108" i="5"/>
  <c r="H108" i="5" s="1"/>
  <c r="C108" i="5"/>
  <c r="B108" i="5"/>
  <c r="E107" i="5"/>
  <c r="I107" i="5" s="1"/>
  <c r="D107" i="5"/>
  <c r="H107" i="5" s="1"/>
  <c r="C107" i="5"/>
  <c r="B107" i="5"/>
  <c r="E106" i="5"/>
  <c r="I106" i="5" s="1"/>
  <c r="D106" i="5"/>
  <c r="H106" i="5" s="1"/>
  <c r="C106" i="5"/>
  <c r="B106" i="5"/>
  <c r="E105" i="5"/>
  <c r="I105" i="5" s="1"/>
  <c r="D105" i="5"/>
  <c r="H105" i="5" s="1"/>
  <c r="C105" i="5"/>
  <c r="B105" i="5"/>
  <c r="E104" i="5"/>
  <c r="I104" i="5" s="1"/>
  <c r="D104" i="5"/>
  <c r="H104" i="5" s="1"/>
  <c r="C104" i="5"/>
  <c r="B104" i="5"/>
  <c r="E103" i="5"/>
  <c r="I103" i="5" s="1"/>
  <c r="D103" i="5"/>
  <c r="H103" i="5" s="1"/>
  <c r="C103" i="5"/>
  <c r="B103" i="5"/>
  <c r="E102" i="5"/>
  <c r="I102" i="5" s="1"/>
  <c r="D102" i="5"/>
  <c r="H102" i="5" s="1"/>
  <c r="C102" i="5"/>
  <c r="B102" i="5"/>
  <c r="E101" i="5"/>
  <c r="I101" i="5" s="1"/>
  <c r="D101" i="5"/>
  <c r="H101" i="5" s="1"/>
  <c r="C101" i="5"/>
  <c r="B101" i="5"/>
  <c r="E100" i="5"/>
  <c r="I100" i="5" s="1"/>
  <c r="D100" i="5"/>
  <c r="H100" i="5" s="1"/>
  <c r="C100" i="5"/>
  <c r="B100" i="5"/>
  <c r="E99" i="5"/>
  <c r="I99" i="5" s="1"/>
  <c r="D99" i="5"/>
  <c r="H99" i="5" s="1"/>
  <c r="C99" i="5"/>
  <c r="B99" i="5"/>
  <c r="E98" i="5"/>
  <c r="I98" i="5" s="1"/>
  <c r="D98" i="5"/>
  <c r="H98" i="5" s="1"/>
  <c r="C98" i="5"/>
  <c r="B98" i="5"/>
  <c r="E97" i="5"/>
  <c r="I97" i="5" s="1"/>
  <c r="D97" i="5"/>
  <c r="H97" i="5" s="1"/>
  <c r="C97" i="5"/>
  <c r="B97" i="5"/>
  <c r="E96" i="5"/>
  <c r="I96" i="5" s="1"/>
  <c r="D96" i="5"/>
  <c r="H96" i="5" s="1"/>
  <c r="C96" i="5"/>
  <c r="B96" i="5"/>
  <c r="E95" i="5"/>
  <c r="I95" i="5" s="1"/>
  <c r="D95" i="5"/>
  <c r="H95" i="5" s="1"/>
  <c r="J95" i="5" s="1"/>
  <c r="C95" i="5"/>
  <c r="B95" i="5"/>
  <c r="E94" i="5"/>
  <c r="I94" i="5" s="1"/>
  <c r="D94" i="5"/>
  <c r="H94" i="5" s="1"/>
  <c r="C94" i="5"/>
  <c r="B94" i="5"/>
  <c r="E93" i="5"/>
  <c r="I93" i="5" s="1"/>
  <c r="D93" i="5"/>
  <c r="H93" i="5" s="1"/>
  <c r="C93" i="5"/>
  <c r="B93" i="5"/>
  <c r="E92" i="5"/>
  <c r="I92" i="5" s="1"/>
  <c r="D92" i="5"/>
  <c r="H92" i="5" s="1"/>
  <c r="C92" i="5"/>
  <c r="B92" i="5"/>
  <c r="E91" i="5"/>
  <c r="I91" i="5" s="1"/>
  <c r="D91" i="5"/>
  <c r="H91" i="5" s="1"/>
  <c r="C91" i="5"/>
  <c r="B91" i="5"/>
  <c r="E90" i="5"/>
  <c r="I90" i="5" s="1"/>
  <c r="D90" i="5"/>
  <c r="H90" i="5" s="1"/>
  <c r="C90" i="5"/>
  <c r="B90" i="5"/>
  <c r="E89" i="5"/>
  <c r="I89" i="5" s="1"/>
  <c r="D89" i="5"/>
  <c r="H89" i="5" s="1"/>
  <c r="C89" i="5"/>
  <c r="B89" i="5"/>
  <c r="E88" i="5"/>
  <c r="I88" i="5" s="1"/>
  <c r="D88" i="5"/>
  <c r="H88" i="5" s="1"/>
  <c r="C88" i="5"/>
  <c r="B88" i="5"/>
  <c r="E87" i="5"/>
  <c r="I87" i="5" s="1"/>
  <c r="D87" i="5"/>
  <c r="H87" i="5" s="1"/>
  <c r="C87" i="5"/>
  <c r="B87" i="5"/>
  <c r="E86" i="5"/>
  <c r="I86" i="5" s="1"/>
  <c r="D86" i="5"/>
  <c r="H86" i="5" s="1"/>
  <c r="C86" i="5"/>
  <c r="B86" i="5"/>
  <c r="E85" i="5"/>
  <c r="I85" i="5" s="1"/>
  <c r="D85" i="5"/>
  <c r="H85" i="5" s="1"/>
  <c r="C85" i="5"/>
  <c r="B85" i="5"/>
  <c r="E84" i="5"/>
  <c r="I84" i="5" s="1"/>
  <c r="D84" i="5"/>
  <c r="H84" i="5" s="1"/>
  <c r="C84" i="5"/>
  <c r="B84" i="5"/>
  <c r="E83" i="5"/>
  <c r="I83" i="5" s="1"/>
  <c r="D83" i="5"/>
  <c r="H83" i="5" s="1"/>
  <c r="C83" i="5"/>
  <c r="B83" i="5"/>
  <c r="E82" i="5"/>
  <c r="I82" i="5" s="1"/>
  <c r="D82" i="5"/>
  <c r="H82" i="5" s="1"/>
  <c r="C82" i="5"/>
  <c r="B82" i="5"/>
  <c r="E81" i="5"/>
  <c r="I81" i="5" s="1"/>
  <c r="D81" i="5"/>
  <c r="H81" i="5" s="1"/>
  <c r="C81" i="5"/>
  <c r="B81" i="5"/>
  <c r="E80" i="5"/>
  <c r="I80" i="5" s="1"/>
  <c r="D80" i="5"/>
  <c r="H80" i="5" s="1"/>
  <c r="C80" i="5"/>
  <c r="B80" i="5"/>
  <c r="E79" i="5"/>
  <c r="I79" i="5" s="1"/>
  <c r="D79" i="5"/>
  <c r="H79" i="5" s="1"/>
  <c r="C79" i="5"/>
  <c r="B79" i="5"/>
  <c r="E78" i="5"/>
  <c r="I78" i="5" s="1"/>
  <c r="D78" i="5"/>
  <c r="H78" i="5" s="1"/>
  <c r="C78" i="5"/>
  <c r="B78" i="5"/>
  <c r="E77" i="5"/>
  <c r="I77" i="5" s="1"/>
  <c r="D77" i="5"/>
  <c r="H77" i="5" s="1"/>
  <c r="C77" i="5"/>
  <c r="B77" i="5"/>
  <c r="E76" i="5"/>
  <c r="I76" i="5" s="1"/>
  <c r="D76" i="5"/>
  <c r="H76" i="5" s="1"/>
  <c r="C76" i="5"/>
  <c r="B76" i="5"/>
  <c r="E75" i="5"/>
  <c r="I75" i="5" s="1"/>
  <c r="D75" i="5"/>
  <c r="H75" i="5" s="1"/>
  <c r="C75" i="5"/>
  <c r="B75" i="5"/>
  <c r="E74" i="5"/>
  <c r="I74" i="5" s="1"/>
  <c r="D74" i="5"/>
  <c r="H74" i="5" s="1"/>
  <c r="C74" i="5"/>
  <c r="B74" i="5"/>
  <c r="E73" i="5"/>
  <c r="I73" i="5" s="1"/>
  <c r="D73" i="5"/>
  <c r="H73" i="5" s="1"/>
  <c r="C73" i="5"/>
  <c r="B73" i="5"/>
  <c r="E72" i="5"/>
  <c r="I72" i="5" s="1"/>
  <c r="D72" i="5"/>
  <c r="H72" i="5" s="1"/>
  <c r="C72" i="5"/>
  <c r="B72" i="5"/>
  <c r="E71" i="5"/>
  <c r="I71" i="5" s="1"/>
  <c r="D71" i="5"/>
  <c r="H71" i="5" s="1"/>
  <c r="C71" i="5"/>
  <c r="B71" i="5"/>
  <c r="E70" i="5"/>
  <c r="I70" i="5" s="1"/>
  <c r="D70" i="5"/>
  <c r="H70" i="5" s="1"/>
  <c r="C70" i="5"/>
  <c r="B70" i="5"/>
  <c r="E69" i="5"/>
  <c r="I69" i="5" s="1"/>
  <c r="D69" i="5"/>
  <c r="H69" i="5" s="1"/>
  <c r="C69" i="5"/>
  <c r="B69" i="5"/>
  <c r="E68" i="5"/>
  <c r="I68" i="5" s="1"/>
  <c r="D68" i="5"/>
  <c r="H68" i="5" s="1"/>
  <c r="C68" i="5"/>
  <c r="B68" i="5"/>
  <c r="E67" i="5"/>
  <c r="I67" i="5" s="1"/>
  <c r="D67" i="5"/>
  <c r="H67" i="5" s="1"/>
  <c r="C67" i="5"/>
  <c r="B67" i="5"/>
  <c r="E66" i="5"/>
  <c r="I66" i="5" s="1"/>
  <c r="D66" i="5"/>
  <c r="H66" i="5" s="1"/>
  <c r="C66" i="5"/>
  <c r="B66" i="5"/>
  <c r="E65" i="5"/>
  <c r="I65" i="5" s="1"/>
  <c r="D65" i="5"/>
  <c r="H65" i="5" s="1"/>
  <c r="C65" i="5"/>
  <c r="B65" i="5"/>
  <c r="E64" i="5"/>
  <c r="I64" i="5" s="1"/>
  <c r="D64" i="5"/>
  <c r="C64" i="5"/>
  <c r="B64" i="5"/>
  <c r="E63" i="5"/>
  <c r="I63" i="5" s="1"/>
  <c r="D63" i="5"/>
  <c r="H63" i="5" s="1"/>
  <c r="C63" i="5"/>
  <c r="B63" i="5"/>
  <c r="E62" i="5"/>
  <c r="I62" i="5" s="1"/>
  <c r="D62" i="5"/>
  <c r="H62" i="5" s="1"/>
  <c r="C62" i="5"/>
  <c r="B62" i="5"/>
  <c r="E61" i="5"/>
  <c r="I61" i="5" s="1"/>
  <c r="D61" i="5"/>
  <c r="H61" i="5" s="1"/>
  <c r="C61" i="5"/>
  <c r="B61" i="5"/>
  <c r="E60" i="5"/>
  <c r="I60" i="5" s="1"/>
  <c r="D60" i="5"/>
  <c r="H60" i="5" s="1"/>
  <c r="C60" i="5"/>
  <c r="B60" i="5"/>
  <c r="E59" i="5"/>
  <c r="I59" i="5" s="1"/>
  <c r="D59" i="5"/>
  <c r="H59" i="5" s="1"/>
  <c r="C59" i="5"/>
  <c r="B59" i="5"/>
  <c r="E58" i="5"/>
  <c r="I58" i="5" s="1"/>
  <c r="D58" i="5"/>
  <c r="H58" i="5" s="1"/>
  <c r="C58" i="5"/>
  <c r="B58" i="5"/>
  <c r="E57" i="5"/>
  <c r="I57" i="5" s="1"/>
  <c r="D57" i="5"/>
  <c r="H57" i="5" s="1"/>
  <c r="C57" i="5"/>
  <c r="B57" i="5"/>
  <c r="E56" i="5"/>
  <c r="I56" i="5" s="1"/>
  <c r="D56" i="5"/>
  <c r="H56" i="5" s="1"/>
  <c r="C56" i="5"/>
  <c r="B56" i="5"/>
  <c r="E55" i="5"/>
  <c r="I55" i="5" s="1"/>
  <c r="D55" i="5"/>
  <c r="H55" i="5" s="1"/>
  <c r="C55" i="5"/>
  <c r="B55" i="5"/>
  <c r="E54" i="5"/>
  <c r="I54" i="5" s="1"/>
  <c r="D54" i="5"/>
  <c r="H54" i="5" s="1"/>
  <c r="C54" i="5"/>
  <c r="B54" i="5"/>
  <c r="E53" i="5"/>
  <c r="I53" i="5" s="1"/>
  <c r="D53" i="5"/>
  <c r="H53" i="5" s="1"/>
  <c r="C53" i="5"/>
  <c r="B53" i="5"/>
  <c r="E52" i="5"/>
  <c r="I52" i="5" s="1"/>
  <c r="D52" i="5"/>
  <c r="H52" i="5" s="1"/>
  <c r="C52" i="5"/>
  <c r="B52" i="5"/>
  <c r="E51" i="5"/>
  <c r="I51" i="5" s="1"/>
  <c r="D51" i="5"/>
  <c r="C51" i="5"/>
  <c r="B51" i="5"/>
  <c r="E50" i="5"/>
  <c r="I50" i="5" s="1"/>
  <c r="D50" i="5"/>
  <c r="H50" i="5" s="1"/>
  <c r="C50" i="5"/>
  <c r="B50" i="5"/>
  <c r="E49" i="5"/>
  <c r="D42" i="2" s="1"/>
  <c r="D49" i="5"/>
  <c r="H49" i="5" s="1"/>
  <c r="C49" i="5"/>
  <c r="B49" i="5"/>
  <c r="E48" i="5"/>
  <c r="I48" i="5" s="1"/>
  <c r="D48" i="5"/>
  <c r="H48" i="5" s="1"/>
  <c r="C48" i="5"/>
  <c r="B48" i="5"/>
  <c r="E47" i="5"/>
  <c r="I47" i="5" s="1"/>
  <c r="D47" i="5"/>
  <c r="H47" i="5" s="1"/>
  <c r="C47" i="5"/>
  <c r="B47" i="5"/>
  <c r="E46" i="5"/>
  <c r="I46" i="5" s="1"/>
  <c r="D46" i="5"/>
  <c r="H46" i="5" s="1"/>
  <c r="C46" i="5"/>
  <c r="B46" i="5"/>
  <c r="E45" i="5"/>
  <c r="I45" i="5" s="1"/>
  <c r="D45" i="5"/>
  <c r="H45" i="5" s="1"/>
  <c r="C45" i="5"/>
  <c r="B45" i="5"/>
  <c r="E44" i="5"/>
  <c r="I44" i="5" s="1"/>
  <c r="D44" i="5"/>
  <c r="H44" i="5" s="1"/>
  <c r="C44" i="5"/>
  <c r="B44" i="5"/>
  <c r="E43" i="5"/>
  <c r="I43" i="5" s="1"/>
  <c r="D43" i="5"/>
  <c r="H43" i="5" s="1"/>
  <c r="C43" i="5"/>
  <c r="B43" i="5"/>
  <c r="E42" i="5"/>
  <c r="I42" i="5" s="1"/>
  <c r="D42" i="5"/>
  <c r="H42" i="5" s="1"/>
  <c r="C42" i="5"/>
  <c r="B42" i="5"/>
  <c r="E41" i="5"/>
  <c r="I41" i="5" s="1"/>
  <c r="D41" i="5"/>
  <c r="H41" i="5" s="1"/>
  <c r="C41" i="5"/>
  <c r="B41" i="5"/>
  <c r="E40" i="5"/>
  <c r="I40" i="5" s="1"/>
  <c r="D40" i="5"/>
  <c r="H40" i="5" s="1"/>
  <c r="C40" i="5"/>
  <c r="B40" i="5"/>
  <c r="E39" i="5"/>
  <c r="I39" i="5" s="1"/>
  <c r="D39" i="5"/>
  <c r="H39" i="5" s="1"/>
  <c r="C39" i="5"/>
  <c r="B39" i="5"/>
  <c r="E38" i="5"/>
  <c r="I38" i="5" s="1"/>
  <c r="D38" i="5"/>
  <c r="H38" i="5" s="1"/>
  <c r="C38" i="5"/>
  <c r="B38" i="5"/>
  <c r="G123" i="5"/>
  <c r="E37" i="5"/>
  <c r="D37" i="5"/>
  <c r="H37" i="5" s="1"/>
  <c r="C37" i="5"/>
  <c r="B37" i="5"/>
  <c r="E36" i="5"/>
  <c r="D36" i="5"/>
  <c r="H36" i="5" s="1"/>
  <c r="C36" i="5"/>
  <c r="B36" i="5"/>
  <c r="E35" i="5"/>
  <c r="I35" i="5" s="1"/>
  <c r="D35" i="5"/>
  <c r="H35" i="5" s="1"/>
  <c r="C35" i="5"/>
  <c r="B35" i="5"/>
  <c r="E34" i="5"/>
  <c r="I34" i="5" s="1"/>
  <c r="D34" i="5"/>
  <c r="H34" i="5" s="1"/>
  <c r="C34" i="5"/>
  <c r="B34" i="5"/>
  <c r="E33" i="5"/>
  <c r="I33" i="5" s="1"/>
  <c r="D33" i="5"/>
  <c r="H33" i="5" s="1"/>
  <c r="C33" i="5"/>
  <c r="B33" i="5"/>
  <c r="E32" i="5"/>
  <c r="I32" i="5" s="1"/>
  <c r="D32" i="5"/>
  <c r="H32" i="5" s="1"/>
  <c r="C32" i="5"/>
  <c r="B32" i="5"/>
  <c r="E31" i="5"/>
  <c r="I31" i="5" s="1"/>
  <c r="D31" i="5"/>
  <c r="H31" i="5" s="1"/>
  <c r="C31" i="5"/>
  <c r="B31" i="5"/>
  <c r="E30" i="5"/>
  <c r="I30" i="5" s="1"/>
  <c r="D30" i="5"/>
  <c r="H30" i="5" s="1"/>
  <c r="C30" i="5"/>
  <c r="B30" i="5"/>
  <c r="E29" i="5"/>
  <c r="I29" i="5" s="1"/>
  <c r="D29" i="5"/>
  <c r="H29" i="5" s="1"/>
  <c r="C29" i="5"/>
  <c r="B29" i="5"/>
  <c r="E28" i="5"/>
  <c r="I28" i="5" s="1"/>
  <c r="D28" i="5"/>
  <c r="H28" i="5" s="1"/>
  <c r="C28" i="5"/>
  <c r="B28" i="5"/>
  <c r="E27" i="5"/>
  <c r="I27" i="5" s="1"/>
  <c r="D27" i="5"/>
  <c r="D21" i="2" s="1"/>
  <c r="C27" i="5"/>
  <c r="B27" i="5"/>
  <c r="E26" i="5"/>
  <c r="I26" i="5" s="1"/>
  <c r="D26" i="5"/>
  <c r="H26" i="5" s="1"/>
  <c r="C26" i="5"/>
  <c r="B26" i="5"/>
  <c r="E25" i="5"/>
  <c r="I25" i="5" s="1"/>
  <c r="D25" i="5"/>
  <c r="H25" i="5" s="1"/>
  <c r="C25" i="5"/>
  <c r="B25" i="5"/>
  <c r="E24" i="5"/>
  <c r="I24" i="5" s="1"/>
  <c r="D24" i="5"/>
  <c r="H24" i="5" s="1"/>
  <c r="C24" i="5"/>
  <c r="B24" i="5"/>
  <c r="E23" i="5"/>
  <c r="I23" i="5" s="1"/>
  <c r="D23" i="5"/>
  <c r="C23" i="5"/>
  <c r="B23" i="5"/>
  <c r="E22" i="5"/>
  <c r="I22" i="5" s="1"/>
  <c r="D22" i="5"/>
  <c r="H22" i="5" s="1"/>
  <c r="C22" i="5"/>
  <c r="B22" i="5"/>
  <c r="E21" i="5"/>
  <c r="I21" i="5" s="1"/>
  <c r="D21" i="5"/>
  <c r="H21" i="5" s="1"/>
  <c r="C21" i="5"/>
  <c r="B21" i="5"/>
  <c r="E20" i="5"/>
  <c r="I20" i="5" s="1"/>
  <c r="D20" i="5"/>
  <c r="H20" i="5" s="1"/>
  <c r="C20" i="5"/>
  <c r="B20" i="5"/>
  <c r="E19" i="5"/>
  <c r="I19" i="5" s="1"/>
  <c r="D19" i="5"/>
  <c r="H19" i="5" s="1"/>
  <c r="C19" i="5"/>
  <c r="B19" i="5"/>
  <c r="E18" i="5"/>
  <c r="I18" i="5" s="1"/>
  <c r="D18" i="5"/>
  <c r="H18" i="5" s="1"/>
  <c r="C18" i="5"/>
  <c r="B18" i="5"/>
  <c r="E17" i="5"/>
  <c r="I17" i="5" s="1"/>
  <c r="D17" i="5"/>
  <c r="H17" i="5" s="1"/>
  <c r="C17" i="5"/>
  <c r="B17" i="5"/>
  <c r="E16" i="5"/>
  <c r="I16" i="5" s="1"/>
  <c r="D16" i="5"/>
  <c r="H16" i="5" s="1"/>
  <c r="C16" i="5"/>
  <c r="B16" i="5"/>
  <c r="E15" i="5"/>
  <c r="I15" i="5" s="1"/>
  <c r="D15" i="5"/>
  <c r="D10" i="2" s="1"/>
  <c r="C15" i="5"/>
  <c r="B15" i="5"/>
  <c r="E14" i="5"/>
  <c r="I14" i="5" s="1"/>
  <c r="D14" i="5"/>
  <c r="H14" i="5" s="1"/>
  <c r="C14" i="5"/>
  <c r="B14" i="5"/>
  <c r="E13" i="5"/>
  <c r="I13" i="5" s="1"/>
  <c r="D13" i="5"/>
  <c r="H13" i="5" s="1"/>
  <c r="C13" i="5"/>
  <c r="B13" i="5"/>
  <c r="E12" i="5"/>
  <c r="I12" i="5" s="1"/>
  <c r="D12" i="5"/>
  <c r="H12" i="5" s="1"/>
  <c r="C12" i="5"/>
  <c r="B12" i="5"/>
  <c r="E11" i="5"/>
  <c r="I11" i="5" s="1"/>
  <c r="D11" i="5"/>
  <c r="H11" i="5" s="1"/>
  <c r="C11" i="5"/>
  <c r="B11" i="5"/>
  <c r="E10" i="5"/>
  <c r="I10" i="5" s="1"/>
  <c r="D10" i="5"/>
  <c r="H10" i="5" s="1"/>
  <c r="C10" i="5"/>
  <c r="B10" i="5"/>
  <c r="E9" i="5"/>
  <c r="I9" i="5" s="1"/>
  <c r="D9" i="5"/>
  <c r="H9" i="5" s="1"/>
  <c r="C9" i="5"/>
  <c r="B9" i="5"/>
  <c r="E8" i="5"/>
  <c r="I8" i="5" s="1"/>
  <c r="D8" i="5"/>
  <c r="H8" i="5" s="1"/>
  <c r="C8" i="5"/>
  <c r="B8" i="5"/>
  <c r="E7" i="5"/>
  <c r="I7" i="5" s="1"/>
  <c r="D7" i="5"/>
  <c r="H7" i="5" s="1"/>
  <c r="C7" i="5"/>
  <c r="B7" i="5"/>
  <c r="E6" i="5"/>
  <c r="I6" i="5" s="1"/>
  <c r="D6" i="5"/>
  <c r="H6" i="5" s="1"/>
  <c r="C6" i="5"/>
  <c r="B6" i="5"/>
  <c r="E5" i="5"/>
  <c r="I5" i="5" s="1"/>
  <c r="D5" i="5"/>
  <c r="C41" i="3" s="1"/>
  <c r="C5" i="5"/>
  <c r="B5" i="5"/>
  <c r="D37" i="3"/>
  <c r="D29" i="3"/>
  <c r="D40" i="3" s="1"/>
  <c r="D42" i="3" s="1"/>
  <c r="D23" i="3"/>
  <c r="C12" i="3"/>
  <c r="C9" i="3"/>
  <c r="D49" i="2"/>
  <c r="D48" i="2"/>
  <c r="D47" i="2"/>
  <c r="D36" i="2"/>
  <c r="D35" i="2"/>
  <c r="D34" i="2"/>
  <c r="D32" i="2"/>
  <c r="D31" i="2"/>
  <c r="D30" i="2"/>
  <c r="D22" i="2"/>
  <c r="D11" i="2"/>
  <c r="D8" i="2"/>
  <c r="E25" i="11" l="1"/>
  <c r="C797" i="10"/>
  <c r="F797" i="10" s="1"/>
  <c r="F640" i="10"/>
  <c r="D788" i="10" s="1"/>
  <c r="H640" i="10"/>
  <c r="C124" i="7"/>
  <c r="I5" i="6"/>
  <c r="K33" i="6"/>
  <c r="J113" i="5"/>
  <c r="J92" i="5"/>
  <c r="C30" i="4" s="1"/>
  <c r="J110" i="5"/>
  <c r="J52" i="5"/>
  <c r="C47" i="2" s="1"/>
  <c r="J103" i="5"/>
  <c r="J33" i="5"/>
  <c r="J118" i="5"/>
  <c r="J29" i="5"/>
  <c r="J63" i="5"/>
  <c r="J93" i="5"/>
  <c r="J73" i="5"/>
  <c r="J97" i="5"/>
  <c r="J22" i="5"/>
  <c r="J42" i="5"/>
  <c r="C34" i="2" s="1"/>
  <c r="J17" i="5"/>
  <c r="J45" i="5"/>
  <c r="C36" i="2" s="1"/>
  <c r="J78" i="5"/>
  <c r="C33" i="4" s="1"/>
  <c r="C10" i="3" s="1"/>
  <c r="J111" i="5"/>
  <c r="J82" i="5"/>
  <c r="C37" i="4" s="1"/>
  <c r="J38" i="5"/>
  <c r="J56" i="5"/>
  <c r="J55" i="5"/>
  <c r="D17" i="2"/>
  <c r="H23" i="5"/>
  <c r="J23" i="5" s="1"/>
  <c r="J106" i="5"/>
  <c r="C29" i="4" s="1"/>
  <c r="J61" i="5"/>
  <c r="C19" i="4" s="1"/>
  <c r="J10" i="5"/>
  <c r="C50" i="3" s="1"/>
  <c r="D13" i="2"/>
  <c r="J19" i="5"/>
  <c r="I49" i="5"/>
  <c r="J49" i="5" s="1"/>
  <c r="J58" i="5"/>
  <c r="J65" i="5"/>
  <c r="J70" i="5"/>
  <c r="J77" i="5"/>
  <c r="D18" i="2"/>
  <c r="J6" i="5"/>
  <c r="C46" i="3" s="1"/>
  <c r="J21" i="5"/>
  <c r="J46" i="5"/>
  <c r="J79" i="5"/>
  <c r="C48" i="4" s="1"/>
  <c r="C50" i="4" s="1"/>
  <c r="J83" i="5"/>
  <c r="C38" i="4" s="1"/>
  <c r="J101" i="5"/>
  <c r="J115" i="5"/>
  <c r="J13" i="5"/>
  <c r="J34" i="5"/>
  <c r="J85" i="5"/>
  <c r="C40" i="4" s="1"/>
  <c r="D23" i="2"/>
  <c r="D7" i="2"/>
  <c r="J71" i="5"/>
  <c r="C32" i="4" s="1"/>
  <c r="J76" i="5"/>
  <c r="C27" i="4" s="1"/>
  <c r="J87" i="5"/>
  <c r="C42" i="4" s="1"/>
  <c r="J66" i="5"/>
  <c r="J98" i="5"/>
  <c r="H15" i="5"/>
  <c r="J15" i="5" s="1"/>
  <c r="C10" i="2" s="1"/>
  <c r="J20" i="5"/>
  <c r="J100" i="5"/>
  <c r="J121" i="5"/>
  <c r="J84" i="5"/>
  <c r="C39" i="4" s="1"/>
  <c r="J112" i="5"/>
  <c r="J11" i="5"/>
  <c r="C51" i="3" s="1"/>
  <c r="J48" i="5"/>
  <c r="C41" i="2" s="1"/>
  <c r="J31" i="5"/>
  <c r="J50" i="5"/>
  <c r="C43" i="2" s="1"/>
  <c r="J104" i="5"/>
  <c r="J90" i="5"/>
  <c r="C8" i="4" s="1"/>
  <c r="J114" i="5"/>
  <c r="J8" i="5"/>
  <c r="C48" i="3" s="1"/>
  <c r="D9" i="2"/>
  <c r="D19" i="2"/>
  <c r="D33" i="2"/>
  <c r="D38" i="2" s="1"/>
  <c r="H27" i="5"/>
  <c r="J35" i="5"/>
  <c r="J53" i="5"/>
  <c r="C48" i="2" s="1"/>
  <c r="J67" i="5"/>
  <c r="I36" i="5"/>
  <c r="J36" i="5" s="1"/>
  <c r="C23" i="2" s="1"/>
  <c r="D20" i="2"/>
  <c r="J32" i="5"/>
  <c r="J107" i="5"/>
  <c r="J40" i="5"/>
  <c r="J57" i="5"/>
  <c r="J75" i="5"/>
  <c r="C28" i="4" s="1"/>
  <c r="J109" i="5"/>
  <c r="J117" i="5"/>
  <c r="J44" i="5"/>
  <c r="D12" i="2"/>
  <c r="D41" i="2"/>
  <c r="D50" i="2"/>
  <c r="D52" i="2" s="1"/>
  <c r="J12" i="5"/>
  <c r="J60" i="5"/>
  <c r="C18" i="4" s="1"/>
  <c r="J68" i="5"/>
  <c r="J74" i="5"/>
  <c r="C24" i="4" s="1"/>
  <c r="J89" i="5"/>
  <c r="C7" i="4" s="1"/>
  <c r="J91" i="5"/>
  <c r="J96" i="5"/>
  <c r="C27" i="3" s="1"/>
  <c r="J105" i="5"/>
  <c r="J116" i="5"/>
  <c r="J25" i="5"/>
  <c r="J99" i="5"/>
  <c r="J108" i="5"/>
  <c r="C31" i="4" s="1"/>
  <c r="J28" i="5"/>
  <c r="J94" i="5"/>
  <c r="C21" i="4" s="1"/>
  <c r="L18" i="6"/>
  <c r="H5" i="5"/>
  <c r="D123" i="5"/>
  <c r="H64" i="5"/>
  <c r="J64" i="5" s="1"/>
  <c r="C22" i="4" s="1"/>
  <c r="J69" i="5"/>
  <c r="J72" i="5"/>
  <c r="C25" i="4" s="1"/>
  <c r="J30" i="5"/>
  <c r="J41" i="5"/>
  <c r="E123" i="5"/>
  <c r="J9" i="5"/>
  <c r="C49" i="3" s="1"/>
  <c r="J14" i="5"/>
  <c r="J18" i="5"/>
  <c r="J26" i="5"/>
  <c r="C20" i="2" s="1"/>
  <c r="I37" i="5"/>
  <c r="J37" i="5" s="1"/>
  <c r="J47" i="5"/>
  <c r="C21" i="3" s="1"/>
  <c r="J54" i="5"/>
  <c r="C49" i="2" s="1"/>
  <c r="J81" i="5"/>
  <c r="J88" i="5"/>
  <c r="C6" i="4" s="1"/>
  <c r="L19" i="6"/>
  <c r="J102" i="5"/>
  <c r="D43" i="2"/>
  <c r="C29" i="11"/>
  <c r="D68" i="11"/>
  <c r="C28" i="11"/>
  <c r="C27" i="11"/>
  <c r="D37" i="11"/>
  <c r="J7" i="5"/>
  <c r="C47" i="3" s="1"/>
  <c r="F123" i="5"/>
  <c r="J16" i="5"/>
  <c r="J43" i="5"/>
  <c r="J24" i="5"/>
  <c r="J39" i="5"/>
  <c r="C32" i="2" s="1"/>
  <c r="J59" i="5"/>
  <c r="J86" i="5"/>
  <c r="C41" i="4" s="1"/>
  <c r="H51" i="5"/>
  <c r="J51" i="5" s="1"/>
  <c r="J62" i="5"/>
  <c r="C20" i="4" s="1"/>
  <c r="J80" i="5"/>
  <c r="C53" i="4" s="1"/>
  <c r="J120" i="5"/>
  <c r="I11" i="6"/>
  <c r="J11" i="6" s="1"/>
  <c r="L11" i="6" s="1"/>
  <c r="L12" i="6"/>
  <c r="I19" i="6"/>
  <c r="J19" i="6" s="1"/>
  <c r="L20" i="6"/>
  <c r="I27" i="6"/>
  <c r="J27" i="6" s="1"/>
  <c r="L27" i="6" s="1"/>
  <c r="L28" i="6"/>
  <c r="C30" i="11"/>
  <c r="E64" i="11"/>
  <c r="D69" i="11" s="1"/>
  <c r="L9" i="6"/>
  <c r="L17" i="6"/>
  <c r="L25" i="6"/>
  <c r="J7" i="11"/>
  <c r="E796" i="10"/>
  <c r="F796" i="10" s="1"/>
  <c r="J5" i="6"/>
  <c r="I10" i="6"/>
  <c r="J10" i="6" s="1"/>
  <c r="L10" i="6" s="1"/>
  <c r="I18" i="6"/>
  <c r="J18" i="6" s="1"/>
  <c r="I26" i="6"/>
  <c r="J26" i="6" s="1"/>
  <c r="L26" i="6" s="1"/>
  <c r="H644" i="10"/>
  <c r="H784" i="10" s="1"/>
  <c r="F784" i="10"/>
  <c r="D790" i="10" s="1"/>
  <c r="C795" i="10"/>
  <c r="B28" i="11"/>
  <c r="E795" i="10"/>
  <c r="E798" i="10" s="1"/>
  <c r="B29" i="11"/>
  <c r="B30" i="11"/>
  <c r="D70" i="11" l="1"/>
  <c r="C22" i="2"/>
  <c r="C33" i="2"/>
  <c r="C31" i="2"/>
  <c r="C33" i="3"/>
  <c r="C12" i="4"/>
  <c r="C26" i="4"/>
  <c r="C26" i="3"/>
  <c r="C29" i="3" s="1"/>
  <c r="D14" i="2"/>
  <c r="C8" i="2"/>
  <c r="C20" i="3"/>
  <c r="C18" i="2"/>
  <c r="C17" i="2"/>
  <c r="D24" i="2"/>
  <c r="C13" i="2"/>
  <c r="C35" i="2"/>
  <c r="C32" i="3"/>
  <c r="C23" i="4"/>
  <c r="C18" i="3"/>
  <c r="C14" i="3"/>
  <c r="J27" i="5"/>
  <c r="C21" i="2" s="1"/>
  <c r="D44" i="2"/>
  <c r="D53" i="2" s="1"/>
  <c r="C13" i="4"/>
  <c r="C37" i="2"/>
  <c r="C42" i="2"/>
  <c r="C44" i="2" s="1"/>
  <c r="C34" i="3"/>
  <c r="C19" i="2"/>
  <c r="C16" i="3"/>
  <c r="C11" i="2"/>
  <c r="C15" i="3"/>
  <c r="C9" i="2"/>
  <c r="C43" i="4"/>
  <c r="J33" i="6"/>
  <c r="L5" i="6"/>
  <c r="L33" i="6" s="1"/>
  <c r="C35" i="4"/>
  <c r="C10" i="4"/>
  <c r="C30" i="2"/>
  <c r="C19" i="3"/>
  <c r="C9" i="4"/>
  <c r="I33" i="6"/>
  <c r="C11" i="3"/>
  <c r="C22" i="3"/>
  <c r="D124" i="5"/>
  <c r="D791" i="10"/>
  <c r="C35" i="3"/>
  <c r="C50" i="2"/>
  <c r="F795" i="10"/>
  <c r="C798" i="10"/>
  <c r="F798" i="10" s="1"/>
  <c r="J5" i="5"/>
  <c r="H123" i="5"/>
  <c r="I123" i="5"/>
  <c r="C17" i="3"/>
  <c r="C12" i="2"/>
  <c r="C34" i="4" l="1"/>
  <c r="D34" i="4" s="1"/>
  <c r="D25" i="2"/>
  <c r="D55" i="2" s="1"/>
  <c r="C24" i="2"/>
  <c r="C19" i="1"/>
  <c r="E19" i="1" s="1"/>
  <c r="C37" i="3"/>
  <c r="D9" i="4"/>
  <c r="C15" i="4"/>
  <c r="D10" i="4"/>
  <c r="C29" i="1"/>
  <c r="D49" i="4"/>
  <c r="D48" i="4"/>
  <c r="D31" i="4"/>
  <c r="D19" i="4"/>
  <c r="D23" i="4"/>
  <c r="D38" i="4"/>
  <c r="D40" i="4"/>
  <c r="D24" i="4"/>
  <c r="D7" i="4"/>
  <c r="D32" i="4"/>
  <c r="D26" i="4"/>
  <c r="D42" i="4"/>
  <c r="D27" i="4"/>
  <c r="D39" i="4"/>
  <c r="C14" i="1"/>
  <c r="E14" i="1" s="1"/>
  <c r="D8" i="4"/>
  <c r="D33" i="4"/>
  <c r="D28" i="4"/>
  <c r="D37" i="4"/>
  <c r="D30" i="4"/>
  <c r="D18" i="4"/>
  <c r="D29" i="4"/>
  <c r="D50" i="4"/>
  <c r="D12" i="4"/>
  <c r="D41" i="4"/>
  <c r="D35" i="4"/>
  <c r="D21" i="4"/>
  <c r="C38" i="2"/>
  <c r="C15" i="1"/>
  <c r="E15" i="1" s="1"/>
  <c r="D25" i="4"/>
  <c r="D6" i="4"/>
  <c r="H125" i="5"/>
  <c r="J123" i="5"/>
  <c r="C45" i="3"/>
  <c r="C52" i="3" s="1"/>
  <c r="C7" i="2"/>
  <c r="D20" i="4"/>
  <c r="C8" i="3"/>
  <c r="D43" i="4"/>
  <c r="D53" i="4"/>
  <c r="D22" i="4"/>
  <c r="D13" i="4"/>
  <c r="C34" i="1" l="1"/>
  <c r="C13" i="1"/>
  <c r="E13" i="1" s="1"/>
  <c r="C14" i="2"/>
  <c r="D15" i="4"/>
  <c r="C45" i="4"/>
  <c r="C6" i="1"/>
  <c r="E6" i="1" s="1"/>
  <c r="C30" i="1"/>
  <c r="D30" i="1" s="1"/>
  <c r="D45" i="4" l="1"/>
  <c r="C7" i="1"/>
  <c r="E7" i="1" s="1"/>
  <c r="C31" i="1"/>
  <c r="D31" i="1" s="1"/>
  <c r="C25" i="1"/>
  <c r="E25" i="1" s="1"/>
  <c r="C52" i="4"/>
  <c r="C25" i="2"/>
  <c r="C12" i="1"/>
  <c r="E12" i="1" s="1"/>
  <c r="C33" i="1" l="1"/>
  <c r="C20" i="1"/>
  <c r="E20" i="1" s="1"/>
  <c r="C54" i="4"/>
  <c r="D52" i="4"/>
  <c r="D54" i="4" l="1"/>
  <c r="C6" i="3"/>
  <c r="C23" i="3" s="1"/>
  <c r="C40" i="3" s="1"/>
  <c r="C42" i="3" s="1"/>
  <c r="C53" i="3" s="1"/>
  <c r="C8" i="1"/>
  <c r="E8" i="1" s="1"/>
  <c r="C51" i="2"/>
  <c r="C52" i="2" s="1"/>
  <c r="C32" i="1"/>
  <c r="D32" i="1" s="1"/>
  <c r="C35" i="1" l="1"/>
  <c r="C24" i="1"/>
  <c r="E24" i="1" s="1"/>
  <c r="C53" i="2"/>
  <c r="C55" i="2" s="1"/>
</calcChain>
</file>

<file path=xl/sharedStrings.xml><?xml version="1.0" encoding="utf-8"?>
<sst xmlns="http://schemas.openxmlformats.org/spreadsheetml/2006/main" count="1225" uniqueCount="720">
  <si>
    <t>لوحة المؤشرات المالية – الربع الأول 2026</t>
  </si>
  <si>
    <t>يُحدَّث تلقائياً | أدخل البيانات في خلايا الإدخال الصفراء</t>
  </si>
  <si>
    <t>مؤشرات الربحية</t>
  </si>
  <si>
    <t>#</t>
  </si>
  <si>
    <t>المؤشر</t>
  </si>
  <si>
    <t>القيمة</t>
  </si>
  <si>
    <t>المرجع</t>
  </si>
  <si>
    <t>التقييم</t>
  </si>
  <si>
    <t>هامش مجمل الربح</t>
  </si>
  <si>
    <t>قياسي: &gt;30%</t>
  </si>
  <si>
    <t>هامش الربح التشغيلي</t>
  </si>
  <si>
    <t>قياسي: &gt;10%</t>
  </si>
  <si>
    <t>هامش صافي الربح</t>
  </si>
  <si>
    <t>قياسي: &gt;5%</t>
  </si>
  <si>
    <t>مؤشرات السيولة</t>
  </si>
  <si>
    <t>نسبة السيولة الجارية</t>
  </si>
  <si>
    <t>جيد: &gt;1.5</t>
  </si>
  <si>
    <t>نسبة السيولة السريعة</t>
  </si>
  <si>
    <t>جيد: &gt;1</t>
  </si>
  <si>
    <t>أيام تحصيل الذمم</t>
  </si>
  <si>
    <t>أقل = أفضل</t>
  </si>
  <si>
    <t>أيام سداد الموردين</t>
  </si>
  <si>
    <t>أطول = أفضل</t>
  </si>
  <si>
    <t>مؤشرات النشاط</t>
  </si>
  <si>
    <t>معدل دوران المخزون</t>
  </si>
  <si>
    <t>أعلى = أفضل</t>
  </si>
  <si>
    <t>معدل دوران الأصول</t>
  </si>
  <si>
    <t>مؤشرات الرفع المالي</t>
  </si>
  <si>
    <t>نسبة الدين إلى حقوق الملكية</t>
  </si>
  <si>
    <t>جيد: &lt;2</t>
  </si>
  <si>
    <t>نسبة تغطية الفائدة</t>
  </si>
  <si>
    <t>جيد: &gt;3</t>
  </si>
  <si>
    <t>━━━━━━━━━━━━━━━━━━━━━━━━━━━━━━━━━━</t>
  </si>
  <si>
    <t>ملخص القوائم المالية – الربع الأول 2026</t>
  </si>
  <si>
    <t>إجمالي الإيرادات</t>
  </si>
  <si>
    <t>مجمل الربح</t>
  </si>
  <si>
    <t>الربح التشغيلي EBIT</t>
  </si>
  <si>
    <t>صافي الربح</t>
  </si>
  <si>
    <t>إجمالي الموجودات</t>
  </si>
  <si>
    <t>إجمالي المطلوبات</t>
  </si>
  <si>
    <t>حقوق الشركاء</t>
  </si>
  <si>
    <t>الميزانية العمومية</t>
  </si>
  <si>
    <t>كما في 31 مارس 2026 | مقارنة مع 31 ديسمبر 2025</t>
  </si>
  <si>
    <t>البند</t>
  </si>
  <si>
    <t>2026 (ر.س)</t>
  </si>
  <si>
    <t>2025 مقارن (ر.س)</t>
  </si>
  <si>
    <t>الموجودات</t>
  </si>
  <si>
    <t>الموجودات المتداولة</t>
  </si>
  <si>
    <t xml:space="preserve">  النقدية والبنوك</t>
  </si>
  <si>
    <t xml:space="preserve">  الذمم التجارية (العملاء)</t>
  </si>
  <si>
    <t xml:space="preserve">  المخزون</t>
  </si>
  <si>
    <t xml:space="preserve">  مدخلات ضريبة القيمة المضافة</t>
  </si>
  <si>
    <t xml:space="preserve">  مدفوعات مقدمة واشتراكات</t>
  </si>
  <si>
    <t xml:space="preserve">  سلف الموظفين والعهد</t>
  </si>
  <si>
    <t xml:space="preserve">  أصول متداولة أخرى (خطاب ضمان، مشاريع قيد التنفيذ)</t>
  </si>
  <si>
    <t>إجمالي الموجودات المتداولة</t>
  </si>
  <si>
    <t>الموجودات غير المتداولة</t>
  </si>
  <si>
    <t xml:space="preserve">  عدد وأدوات – صافي</t>
  </si>
  <si>
    <t xml:space="preserve">  كمبيوترات وطابعات – صافي</t>
  </si>
  <si>
    <t xml:space="preserve">  السيارات – صافي</t>
  </si>
  <si>
    <t xml:space="preserve">  أثاث ومفروشات – صافي</t>
  </si>
  <si>
    <t xml:space="preserve">  تحسينات مباني مستأجرة – صافي</t>
  </si>
  <si>
    <t xml:space="preserve">  برامج – صافي</t>
  </si>
  <si>
    <t xml:space="preserve">  سيارات إيجار منتهية بالتمليك – صافي</t>
  </si>
  <si>
    <t>إجمالي الموجودات غير المتداولة</t>
  </si>
  <si>
    <t>المطلوبات وحقوق الشركاء</t>
  </si>
  <si>
    <t>المطلوبات المتداولة</t>
  </si>
  <si>
    <t xml:space="preserve">  الذمم الدائنة (الموردون)</t>
  </si>
  <si>
    <t xml:space="preserve">  القروض قصيرة الأجل</t>
  </si>
  <si>
    <t xml:space="preserve">  مخصص الزكاة</t>
  </si>
  <si>
    <t xml:space="preserve">  تأمينات مستحقة ورواتب</t>
  </si>
  <si>
    <t xml:space="preserve">  إيجار مستحق الدفع</t>
  </si>
  <si>
    <t xml:space="preserve">  ضريبة القيمة المضافة المستحقة</t>
  </si>
  <si>
    <t xml:space="preserve">  مخصص إجازات</t>
  </si>
  <si>
    <t xml:space="preserve">  دفعات مقدمة من عملاء وإيرادات مؤجلة</t>
  </si>
  <si>
    <t>إجمالي المطلوبات المتداولة</t>
  </si>
  <si>
    <t>المطلوبات غير المتداولة</t>
  </si>
  <si>
    <t xml:space="preserve">  التزامات المنافع المحددة للموظفين</t>
  </si>
  <si>
    <t xml:space="preserve">  قرض تمويل الراجحي</t>
  </si>
  <si>
    <t xml:space="preserve">  عقد إيجار تمويلي – لاند كروزر (IFRS 16)</t>
  </si>
  <si>
    <t>إجمالي المطلوبات غير المتداولة</t>
  </si>
  <si>
    <t xml:space="preserve">  رأس المال</t>
  </si>
  <si>
    <t xml:space="preserve">  الاحتياطي النظامي</t>
  </si>
  <si>
    <t xml:space="preserve">  الأرباح المبقاة</t>
  </si>
  <si>
    <t xml:space="preserve">  جاري المالك (رصيد مدين = مدين على المالك يُطرح / دائن = مصدر تمويل يُضاف)</t>
  </si>
  <si>
    <t xml:space="preserve">  صافي ربح الفترة الحالية</t>
  </si>
  <si>
    <t>إجمالي حقوق الشركاء</t>
  </si>
  <si>
    <t>إجمالي المطلوبات وحقوق الشركاء</t>
  </si>
  <si>
    <t>فحص التوازن: الموجودات – (المطلوبات+حقوق الشركاء) = يجب صفر</t>
  </si>
  <si>
    <t>قائمة التدفقات النقدية</t>
  </si>
  <si>
    <t>للفترة المنتهية 31 مارس 2026 | الطريقة غير المباشرة</t>
  </si>
  <si>
    <t>مُعدَّة وفق معيار IAS 7</t>
  </si>
  <si>
    <t>الربع الأول 2026 (ر.س)</t>
  </si>
  <si>
    <t>الربع الأول 2025 مقارن (ر.س)</t>
  </si>
  <si>
    <t>ملاحظات</t>
  </si>
  <si>
    <t>أولاً: التدفقات النقدية من الأنشطة التشغيلية</t>
  </si>
  <si>
    <t>صافي الربح / (الخسارة) للفترة</t>
  </si>
  <si>
    <t>التعديلات لتسوية صافي الربح:</t>
  </si>
  <si>
    <t xml:space="preserve">    إضافة: مصروف الإهلاك والإطفاء</t>
  </si>
  <si>
    <t xml:space="preserve">    إضافة: فائدة التزام الإيجار (IFRS 16)</t>
  </si>
  <si>
    <t xml:space="preserve">    إضافة: مصروف مكافأة نهاية الخدمة (340031، غير نقدي)</t>
  </si>
  <si>
    <t xml:space="preserve">    إضافة: مخصص الزكاة</t>
  </si>
  <si>
    <t xml:space="preserve">    خسائر / (مكاسب) بيع أصول</t>
  </si>
  <si>
    <t>التغيرات في رأس المال العامل:</t>
  </si>
  <si>
    <t xml:space="preserve">    (زيادة)/نقص في الذمم المدينة – العملاء</t>
  </si>
  <si>
    <t xml:space="preserve">    (زيادة)/نقص في المخزون</t>
  </si>
  <si>
    <t xml:space="preserve">    (زيادة)/نقص في المدفوعات المقدمة والاشتراكات</t>
  </si>
  <si>
    <t xml:space="preserve">    (زيادة)/نقص في سلف الموظفين والعهد</t>
  </si>
  <si>
    <t xml:space="preserve">    تغير في ضريبة القيمة المضافة (صافي)</t>
  </si>
  <si>
    <t xml:space="preserve">    زيادة/(نقص) في الذمم الدائنة – الموردون</t>
  </si>
  <si>
    <t xml:space="preserve">    زيادة/(نقص) في الرواتب والتأمينات المستحقة</t>
  </si>
  <si>
    <t xml:space="preserve">    زيادة/(نقص) في الإيجار والدفعات المقدمة من العملاء وخطاب الضمان</t>
  </si>
  <si>
    <t xml:space="preserve">    زيادة/(نقص) في مخصص الإجازات ومخصص الزكاة والبطاقة الائتمانية</t>
  </si>
  <si>
    <t>صافي التدفقات النقدية من الأنشطة التشغيلية</t>
  </si>
  <si>
    <t>ثانياً: التدفقات النقدية من الأنشطة الاستثمارية</t>
  </si>
  <si>
    <t>شراء أصول ثابتة ملموسة (عدد، سيارات، أثاث، تحسينات)</t>
  </si>
  <si>
    <t>شراء أجهزة وبرامج ومشاريع قيد التنفيذ</t>
  </si>
  <si>
    <t>متحصلات من بيع أصول</t>
  </si>
  <si>
    <t>صافي التدفقات النقدية من الأنشطة الاستثمارية</t>
  </si>
  <si>
    <t>ثالثاً: التدفقات النقدية من الأنشطة التمويلية</t>
  </si>
  <si>
    <t>سداد القسط الأصلي لعقد الإيجار التمويلي (IFRS 16)</t>
  </si>
  <si>
    <t>صافي تغير القروض قصيرة الأجل</t>
  </si>
  <si>
    <t>صافي تغير قرض التمويل (الراجحي)</t>
  </si>
  <si>
    <t>التغير في جاري المالك ورأس المال</t>
  </si>
  <si>
    <t>قروض جديدة مستلمة</t>
  </si>
  <si>
    <t>صافي التدفقات النقدية من الأنشطة التمويلية</t>
  </si>
  <si>
    <t>ملخص الحركة النقدية</t>
  </si>
  <si>
    <t>صافي التغير في النقدية والبنوك</t>
  </si>
  <si>
    <t>رصيد النقدية والبنوك الافتتاحي (1 يناير 2026)</t>
  </si>
  <si>
    <t>رصيد النقدية والبنوك الختامي (31 مارس 2026)</t>
  </si>
  <si>
    <t>تفصيل رصيد النقدية والبنوك</t>
  </si>
  <si>
    <t xml:space="preserve">  نقدي الحسابات (111101)</t>
  </si>
  <si>
    <t xml:space="preserve">  خزنة كاشير 1 (111102)</t>
  </si>
  <si>
    <t xml:space="preserve">  خزنة كاشير 2 (111103)</t>
  </si>
  <si>
    <t xml:space="preserve">  خزنة كاشير 3 (111104)</t>
  </si>
  <si>
    <t xml:space="preserve">  بنك الراجحي (111201)</t>
  </si>
  <si>
    <t xml:space="preserve">  بنك الأهلي (111202)</t>
  </si>
  <si>
    <t xml:space="preserve">  محفظة يوباي الراجحي (111203)</t>
  </si>
  <si>
    <t>إجمالي النقدية والبنوك</t>
  </si>
  <si>
    <t>فحص التطابق (يجب أن يساوي صفر)</t>
  </si>
  <si>
    <r>
      <rPr>
        <sz val="11"/>
        <color theme="1"/>
        <rFont val="FreeSans"/>
        <family val="2"/>
      </rPr>
      <t xml:space="preserve">يجب أن يقترب من </t>
    </r>
    <r>
      <rPr>
        <sz val="11"/>
        <color theme="1"/>
        <rFont val="Calibri"/>
        <family val="2"/>
        <charset val="1"/>
      </rPr>
      <t>0</t>
    </r>
  </si>
  <si>
    <t>قائمة الدخل الشاملة</t>
  </si>
  <si>
    <t>الربع الأول: يناير – مارس 2026</t>
  </si>
  <si>
    <t>مبلغ (ر.س)</t>
  </si>
  <si>
    <t>% من الإيرادات</t>
  </si>
  <si>
    <t>الإيرادات</t>
  </si>
  <si>
    <t>المبيعات التجارية (410001)</t>
  </si>
  <si>
    <t>إيرادات الاشتراكات (410003)</t>
  </si>
  <si>
    <t>إيرادات العقود (410005)</t>
  </si>
  <si>
    <t>إيرادات أخرى (خصومات رواتب، خصم مكتسب، إلخ)</t>
  </si>
  <si>
    <t>تكلفة المبيعات</t>
  </si>
  <si>
    <t>تكلفة البضاعة المباعة</t>
  </si>
  <si>
    <t>إجمالي تكلفة المبيعات (كل الحسابات ذات تصنيف "مصروفات – تكلفة")</t>
  </si>
  <si>
    <t>المصروفات العمومية والإدارية</t>
  </si>
  <si>
    <t>رواتب وأجور (321001)</t>
  </si>
  <si>
    <t>إيجارات (321004)</t>
  </si>
  <si>
    <t>تأمينات اجتماعية (321006)</t>
  </si>
  <si>
    <t>رسوم واشتراكات برامج (321007)</t>
  </si>
  <si>
    <t>كهرباء ومياه (321008)</t>
  </si>
  <si>
    <t>محروقات وصيانة سيارات (321009)</t>
  </si>
  <si>
    <t>هاتف وإنترنت (321031)</t>
  </si>
  <si>
    <t>رسوم بنكية (321021)</t>
  </si>
  <si>
    <t>تأمين صحي وعلاج (321034)</t>
  </si>
  <si>
    <t>أتعاب محاسبية (321033)</t>
  </si>
  <si>
    <t>مصاريف مناقصات (321032)</t>
  </si>
  <si>
    <t>أتعاب تنفيذ مشاريع (321030)</t>
  </si>
  <si>
    <t>مصاريف حكومية (40016)</t>
  </si>
  <si>
    <t>سكن العاملين (340009)</t>
  </si>
  <si>
    <t>مصروف رصيد الإجازات (321018)</t>
  </si>
  <si>
    <t>مصروف مكافأة نهاية الخدمة (340031)</t>
  </si>
  <si>
    <t>مصروفات إدارية أخرى (متنوعة، سفر، ضيافة، إلخ)</t>
  </si>
  <si>
    <t>إجمالي المصروفات الإدارية</t>
  </si>
  <si>
    <t>مصروفات الإهلاك والإطفاء</t>
  </si>
  <si>
    <t>إهلاك المعدات والآلات (350001)</t>
  </si>
  <si>
    <t>إهلاك الكمبيوتر والإلكترونيات (350002)</t>
  </si>
  <si>
    <t>إهلاك السيارات (350003)</t>
  </si>
  <si>
    <t>إهلاك الأثاث والمفروشات (350004)</t>
  </si>
  <si>
    <t>إهلاك تحسينات المباني (350005)</t>
  </si>
  <si>
    <t>إطفاء البرمجيات (350006)</t>
  </si>
  <si>
    <t>إجمالي مصروفات الإهلاك والإطفاء</t>
  </si>
  <si>
    <t>الربح التشغيلي (EBIT)</t>
  </si>
  <si>
    <t>المصاريف المالية</t>
  </si>
  <si>
    <t>مصروف فوائد القروض (340008)</t>
  </si>
  <si>
    <t>رسوم تمويلية أخرى</t>
  </si>
  <si>
    <t>إجمالي المصاريف المالية</t>
  </si>
  <si>
    <t>صافي الربح قبل الزكاة</t>
  </si>
  <si>
    <t>مخصص الزكاة (300072)</t>
  </si>
  <si>
    <t>صافي الربح / (الخسارة)</t>
  </si>
  <si>
    <t>ميزان المراجعة – الربع الأول 2026</t>
  </si>
  <si>
    <t>يسحب الأرصدة الافتتاحية تلقائياً | أدخل الحركة فقط</t>
  </si>
  <si>
    <t>الحساب</t>
  </si>
  <si>
    <t>الرصيد الافتتاحي (تلقائي)</t>
  </si>
  <si>
    <t>حركة الفترة</t>
  </si>
  <si>
    <t>الرصيد الختامي (تلقائي)</t>
  </si>
  <si>
    <t xml:space="preserve">رصيد نهائي </t>
  </si>
  <si>
    <t>كود</t>
  </si>
  <si>
    <t>اسم الحساب (تلقائي)</t>
  </si>
  <si>
    <t>التصنيف (تلقائي)</t>
  </si>
  <si>
    <t>مدين</t>
  </si>
  <si>
    <t>دائن</t>
  </si>
  <si>
    <t>111101</t>
  </si>
  <si>
    <t>111102</t>
  </si>
  <si>
    <t>111103</t>
  </si>
  <si>
    <t>111104</t>
  </si>
  <si>
    <t>111201</t>
  </si>
  <si>
    <t>111202</t>
  </si>
  <si>
    <t>111203</t>
  </si>
  <si>
    <t>113001</t>
  </si>
  <si>
    <t>113003</t>
  </si>
  <si>
    <t>114010</t>
  </si>
  <si>
    <t>111041</t>
  </si>
  <si>
    <t>115007</t>
  </si>
  <si>
    <t>115010</t>
  </si>
  <si>
    <t>116005</t>
  </si>
  <si>
    <t>116006</t>
  </si>
  <si>
    <t>116007</t>
  </si>
  <si>
    <t>116010</t>
  </si>
  <si>
    <t>213009</t>
  </si>
  <si>
    <t>121001</t>
  </si>
  <si>
    <t>121002</t>
  </si>
  <si>
    <t>121003</t>
  </si>
  <si>
    <t>121004</t>
  </si>
  <si>
    <t>121005</t>
  </si>
  <si>
    <t>121006</t>
  </si>
  <si>
    <t>121007</t>
  </si>
  <si>
    <t>122001</t>
  </si>
  <si>
    <t>122002</t>
  </si>
  <si>
    <t>122003</t>
  </si>
  <si>
    <t>122004</t>
  </si>
  <si>
    <t>122005</t>
  </si>
  <si>
    <t>122006</t>
  </si>
  <si>
    <t>122007</t>
  </si>
  <si>
    <t>211001</t>
  </si>
  <si>
    <t>212003</t>
  </si>
  <si>
    <t>201019</t>
  </si>
  <si>
    <t>213003</t>
  </si>
  <si>
    <t>212001</t>
  </si>
  <si>
    <t>213010</t>
  </si>
  <si>
    <t>201017</t>
  </si>
  <si>
    <t>213001</t>
  </si>
  <si>
    <t>213014</t>
  </si>
  <si>
    <t>213006</t>
  </si>
  <si>
    <t>213008</t>
  </si>
  <si>
    <t>213013</t>
  </si>
  <si>
    <t>230001</t>
  </si>
  <si>
    <t>230002</t>
  </si>
  <si>
    <t>221002</t>
  </si>
  <si>
    <t>221001</t>
  </si>
  <si>
    <t>221003</t>
  </si>
  <si>
    <t>222001</t>
  </si>
  <si>
    <t>311001</t>
  </si>
  <si>
    <t>311002</t>
  </si>
  <si>
    <t>311003</t>
  </si>
  <si>
    <t>311004</t>
  </si>
  <si>
    <t>340001</t>
  </si>
  <si>
    <t>321001</t>
  </si>
  <si>
    <t>321004</t>
  </si>
  <si>
    <t>321006</t>
  </si>
  <si>
    <t>321007</t>
  </si>
  <si>
    <t>321008</t>
  </si>
  <si>
    <t>321009</t>
  </si>
  <si>
    <t>321011</t>
  </si>
  <si>
    <t>321013</t>
  </si>
  <si>
    <t>321014</t>
  </si>
  <si>
    <t>321015</t>
  </si>
  <si>
    <t>321017</t>
  </si>
  <si>
    <t>321018</t>
  </si>
  <si>
    <t>321021</t>
  </si>
  <si>
    <t>321026</t>
  </si>
  <si>
    <t>321031</t>
  </si>
  <si>
    <t>321032</t>
  </si>
  <si>
    <t>321033</t>
  </si>
  <si>
    <t>321034</t>
  </si>
  <si>
    <t>340031</t>
  </si>
  <si>
    <t>340008</t>
  </si>
  <si>
    <t>300072</t>
  </si>
  <si>
    <t>350032</t>
  </si>
  <si>
    <t>350001</t>
  </si>
  <si>
    <t>350002</t>
  </si>
  <si>
    <t>350003</t>
  </si>
  <si>
    <t>350004</t>
  </si>
  <si>
    <t>350005</t>
  </si>
  <si>
    <t>350006</t>
  </si>
  <si>
    <t>410001</t>
  </si>
  <si>
    <t>410003</t>
  </si>
  <si>
    <t>410005</t>
  </si>
  <si>
    <t>430001</t>
  </si>
  <si>
    <t>الإجماليات</t>
  </si>
  <si>
    <t>فحص توازن الافتتاحي (يجب=0)</t>
  </si>
  <si>
    <t>فحص توازن الختامي (يجب=0)</t>
  </si>
  <si>
    <t>جدول الأصول الثابتة والإهلاك – 2026</t>
  </si>
  <si>
    <t>الأرصدة الافتتاحية مأخوذة من ميزان المراجعة المعتمد</t>
  </si>
  <si>
    <t>بيانات الأصل</t>
  </si>
  <si>
    <t>التكلفة</t>
  </si>
  <si>
    <t>الإهلاك المتراكم</t>
  </si>
  <si>
    <t>الصافي الدفتري</t>
  </si>
  <si>
    <t>رقم الأصل</t>
  </si>
  <si>
    <t>وصف الأصل</t>
  </si>
  <si>
    <t>فئة الأصل</t>
  </si>
  <si>
    <t>معدل الإهلاك %</t>
  </si>
  <si>
    <t>تكلفة الافتتاح</t>
  </si>
  <si>
    <t>إضافات 2026</t>
  </si>
  <si>
    <t>تكلفة الختام</t>
  </si>
  <si>
    <t>م.مجمع الافتتاح</t>
  </si>
  <si>
    <t>إهلاك 2026</t>
  </si>
  <si>
    <t>م.مجمع الختام</t>
  </si>
  <si>
    <t>صافي الافتتاح</t>
  </si>
  <si>
    <t>صافي الختام</t>
  </si>
  <si>
    <t>عدد وأدوات</t>
  </si>
  <si>
    <t>كمبيوترات وطابعات</t>
  </si>
  <si>
    <t>السيارات</t>
  </si>
  <si>
    <t>أثاث ومفروشات</t>
  </si>
  <si>
    <t>تحسينات مباني مستأجرة</t>
  </si>
  <si>
    <t>برامج</t>
  </si>
  <si>
    <t>سيارات إيجار منتهية بالتمليك</t>
  </si>
  <si>
    <t>الأرصدة الافتتاحية – 1 يناير 2026</t>
  </si>
  <si>
    <t>منقولة من ميزان المراجعة المعتمد 2025 | يسحب أسماء الحسابات تلقائياً من دليل الحسابات</t>
  </si>
  <si>
    <t>▲ إجمالي المدين يجب = إجمالي الدائن لضمان التوازن</t>
  </si>
  <si>
    <t>كود الحساب</t>
  </si>
  <si>
    <t>الإجمالي</t>
  </si>
  <si>
    <t>فحص التوازن (مدين – دائن) ← يجب = صفر</t>
  </si>
  <si>
    <t>✓ يساوي صفر = توازن صحيح</t>
  </si>
  <si>
    <t>دليل الحسابات – قابل للتوسعة</t>
  </si>
  <si>
    <t>أضف حسابات جديدة في أي وقت – يتغذى ميزان المراجعة تلقائياً</t>
  </si>
  <si>
    <t>▶ الخلايا ذات الخلفية الصفراء قابلة للتعديل | النص الأسود معادلات تلقائية</t>
  </si>
  <si>
    <t>اسم الحساب</t>
  </si>
  <si>
    <t>التصنيف</t>
  </si>
  <si>
    <t>طبيعة الرصيد</t>
  </si>
  <si>
    <t>نشط؟</t>
  </si>
  <si>
    <t>نقدي الحسابات</t>
  </si>
  <si>
    <t>أصول متداولة</t>
  </si>
  <si>
    <t>نعم</t>
  </si>
  <si>
    <t>خزنة كاشير 1</t>
  </si>
  <si>
    <t>خزنة كاشير 2</t>
  </si>
  <si>
    <t>خزنة كاشير 3</t>
  </si>
  <si>
    <t>بنك الراجحي</t>
  </si>
  <si>
    <t>بنك الأهلي</t>
  </si>
  <si>
    <t>محفظة يوباي الراجحي</t>
  </si>
  <si>
    <t>الذمم التجارية</t>
  </si>
  <si>
    <t>ذمم المدينة (نقاط بيع)</t>
  </si>
  <si>
    <t>مخزون</t>
  </si>
  <si>
    <t>مدخلات ضريبة القيمة المضافة</t>
  </si>
  <si>
    <t>م اشتراكات مقدم</t>
  </si>
  <si>
    <t>محفظة بترواب (مقدم وقود)</t>
  </si>
  <si>
    <t>سلفة موظف حسن</t>
  </si>
  <si>
    <t>سلفة موظف رحمة</t>
  </si>
  <si>
    <t>سلف محمد الزيد</t>
  </si>
  <si>
    <t>سلف موظف محمد عبد الوهاب</t>
  </si>
  <si>
    <t>خطاب ضمان</t>
  </si>
  <si>
    <t>أصول غير متداولة</t>
  </si>
  <si>
    <t>مجمع إهلاك – المعدات والآلات</t>
  </si>
  <si>
    <t>مجمع إهلاك – الكمبيوتر والإلكترونيات</t>
  </si>
  <si>
    <t>مجمع إهلاك – السيارات</t>
  </si>
  <si>
    <t>مجمع إهلاك – الأثاث والمفروشات</t>
  </si>
  <si>
    <t>مجمع إهلاك – تحسينات المباني</t>
  </si>
  <si>
    <t>مجمع إطفاء – البرمجيات</t>
  </si>
  <si>
    <t>مجمع إهلاك – سيارات إيجار تمليك</t>
  </si>
  <si>
    <t>الذمم الدائنة</t>
  </si>
  <si>
    <t>التزامات متداولة</t>
  </si>
  <si>
    <t>القروض قصيرة الأجل</t>
  </si>
  <si>
    <t>مخصص الزكاة</t>
  </si>
  <si>
    <t>حساب تأمينات مستحقة</t>
  </si>
  <si>
    <t>رواتب مستحقة</t>
  </si>
  <si>
    <t>إيجار مستحق الدفع</t>
  </si>
  <si>
    <t>مخرجات ضريبة القيمة المضافة</t>
  </si>
  <si>
    <t>ضريبة القيمة المضافة المستحقة</t>
  </si>
  <si>
    <t>مخصص إجازات</t>
  </si>
  <si>
    <t>دفعات مقدمة (عملاء)</t>
  </si>
  <si>
    <t>الإيرادات المدفوعة مقدماً</t>
  </si>
  <si>
    <t>التزامات المنافع المحددة للموظفين</t>
  </si>
  <si>
    <t>التزامات غير متداولة</t>
  </si>
  <si>
    <t>قرض تمويل الراجحي</t>
  </si>
  <si>
    <t>عقد إيجار تمويلي – سيارة لاند كروزر</t>
  </si>
  <si>
    <t>جاري المالك – خالد براك الزياد</t>
  </si>
  <si>
    <t>حقوق الملكية</t>
  </si>
  <si>
    <t>رأس المال</t>
  </si>
  <si>
    <t>الاحتياطي النظامي</t>
  </si>
  <si>
    <t>الأرباح المبقاة</t>
  </si>
  <si>
    <t>تكلفة البضاعة المباعة في التجارة</t>
  </si>
  <si>
    <t>مصروفات – تكلفة</t>
  </si>
  <si>
    <t>الخصم المسموح به</t>
  </si>
  <si>
    <t>تكلفة الإيرادات الأخرى</t>
  </si>
  <si>
    <t>تكلفة عقود</t>
  </si>
  <si>
    <t>تسويات فروقات المخزون</t>
  </si>
  <si>
    <t>رواتب وأجور وما في حكمها</t>
  </si>
  <si>
    <t>مصروفات – إدارية</t>
  </si>
  <si>
    <t>إيجارات</t>
  </si>
  <si>
    <t>تأمينات اجتماعية</t>
  </si>
  <si>
    <t>رسوم واشتراكات برامج</t>
  </si>
  <si>
    <t>كهرباء ومياه</t>
  </si>
  <si>
    <t>محروقات</t>
  </si>
  <si>
    <t>غرامات</t>
  </si>
  <si>
    <t>ضيافة و بوفيه</t>
  </si>
  <si>
    <t>متنوعة</t>
  </si>
  <si>
    <t>عمولات البيع</t>
  </si>
  <si>
    <t>التزامات المنافع المحددة للموظفين (مصروف)</t>
  </si>
  <si>
    <t>مصروف الإجازات</t>
  </si>
  <si>
    <t>رسوم بنكية</t>
  </si>
  <si>
    <t>سفر وانتقال</t>
  </si>
  <si>
    <t>هاتف وبريد وإنترنت</t>
  </si>
  <si>
    <t>مصاريف مناقصات</t>
  </si>
  <si>
    <t>أتعاب محاسبية</t>
  </si>
  <si>
    <t>تأمين صحي وعلاج</t>
  </si>
  <si>
    <t>مصروف مخصص نهاية الخدمة</t>
  </si>
  <si>
    <t>مصاريف مخصص الزكاة</t>
  </si>
  <si>
    <t>قرطاسية ومطبوعات</t>
  </si>
  <si>
    <t>مصروف إهلاك – المعدات والآلات</t>
  </si>
  <si>
    <t>مصروفات – إهلاك</t>
  </si>
  <si>
    <t>مصروف إهلاك – الكمبيوتر والإلكترونيات</t>
  </si>
  <si>
    <t>مصروف إهلاك – السيارات</t>
  </si>
  <si>
    <t>مصروف إهلاك – الأثاث والمفروشات</t>
  </si>
  <si>
    <t>مصروف إهلاك – تحسينات المباني</t>
  </si>
  <si>
    <t>مصروف إطفاء – البرمجيات</t>
  </si>
  <si>
    <t xml:space="preserve">المبيعات التجارية </t>
  </si>
  <si>
    <t>إيرادات</t>
  </si>
  <si>
    <t>إيرادات الاشتراكات</t>
  </si>
  <si>
    <t>إيرادات عقود</t>
  </si>
  <si>
    <t>الخصم المكتسب</t>
  </si>
  <si>
    <t xml:space="preserve">مصاريف حكوميه </t>
  </si>
  <si>
    <t xml:space="preserve">م سيرفر سحابي </t>
  </si>
  <si>
    <t xml:space="preserve">م النظافة </t>
  </si>
  <si>
    <t xml:space="preserve">سلف سامي العتيبي </t>
  </si>
  <si>
    <t>مشروعات تحت التنفيذ - برمجيات</t>
  </si>
  <si>
    <t>بطاقة ائتمان</t>
  </si>
  <si>
    <t>نقل بضاعه وارده</t>
  </si>
  <si>
    <t>مصروف صيانة وغسيل سيارات</t>
  </si>
  <si>
    <t xml:space="preserve">مستلزمات تركيب </t>
  </si>
  <si>
    <t>تذاكر طيران</t>
  </si>
  <si>
    <t>مكافات وحوافز</t>
  </si>
  <si>
    <t>مخالفات مرور</t>
  </si>
  <si>
    <t>مستلزمات للادراة</t>
  </si>
  <si>
    <t>تاشيرات والاقامات</t>
  </si>
  <si>
    <t>اتعاب تنفيذ مشاريع</t>
  </si>
  <si>
    <t>تامين طبي</t>
  </si>
  <si>
    <t>سكن العاملين</t>
  </si>
  <si>
    <t xml:space="preserve">فروقات عملات </t>
  </si>
  <si>
    <t>فروقات نقديه</t>
  </si>
  <si>
    <t>خصومات الرواتب</t>
  </si>
  <si>
    <t>دليل الاستخدام – اقرأ قبل البدء</t>
  </si>
  <si>
    <t>النظام المحاسبي 2026 | بيانات حقيقية من ميزانك المعتمد</t>
  </si>
  <si>
    <t>خطوة 1</t>
  </si>
  <si>
    <t>الأرصدة الافتتاحية جاهزة ✓</t>
  </si>
  <si>
    <t>شيت 'الأرصدة الافتتاحية' مُعبَّأ من ميزانك المعتمد. تحقق من خانة فحص التوازن — يجب أن تساوي صفراً.</t>
  </si>
  <si>
    <t>خطوة 2</t>
  </si>
  <si>
    <t>إضافة حسابات جديدة</t>
  </si>
  <si>
    <t>في شيت 'دليل الحسابات': أضف الكود والاسم والتصنيف في الصفوف الصفراء الفارغة.
سيظهر الحساب تلقائياً في ميزان المراجعة والأرصدة الافتتاحية عند إدخال كوده.</t>
  </si>
  <si>
    <t>خطوة 3</t>
  </si>
  <si>
    <t>ميزان المراجعة</t>
  </si>
  <si>
    <t>أدخل الكود فقط في العمود الأول — الاسم والتصنيف والرصيد الافتتاحي يسحب تلقائياً.
أدخل حركة الفترة (مدين/دائن) من برنامج المبيعات.</t>
  </si>
  <si>
    <t>خطوة 4</t>
  </si>
  <si>
    <t>المبيعات وضريبة القيمة المضافة</t>
  </si>
  <si>
    <t>أدخل مبيعاتك ومشترياتك شهرياً. الشيت يحسب VAT 15% تلقائياً ويُعد ملخص الإقرار.</t>
  </si>
  <si>
    <t>خطوة 5</t>
  </si>
  <si>
    <t>الأصول الثابتة</t>
  </si>
  <si>
    <t>جدول الأصول مُعبَّأ بالأرقام الحقيقية. أضف أصولاً جديدة في الصفوف الفارغة.
الإهلاك يُحسب تلقائياً بالمعدل الذي تحدده.</t>
  </si>
  <si>
    <t>خطوة 6</t>
  </si>
  <si>
    <t>القوائم المالية</t>
  </si>
  <si>
    <t>قائمة الدخل والميزانية العمومية: أدخل الأرقام من ميزان المراجعة الختامي في الخلايا الصفراء.
المعادلات تجمع وتحسب تلقائياً.</t>
  </si>
  <si>
    <t>دلالة الألوان</t>
  </si>
  <si>
    <t xml:space="preserve">  </t>
  </si>
  <si>
    <t>خلفية صفراء</t>
  </si>
  <si>
    <t>أدخل بياناتك هنا — قابلة للتعديل</t>
  </si>
  <si>
    <t>خلفية زرقاء فاتحة</t>
  </si>
  <si>
    <t>معادلة تلقائية — لا تعدّل</t>
  </si>
  <si>
    <t>خلفية زرقاء</t>
  </si>
  <si>
    <t>إجمالي محسوب تلقائياً</t>
  </si>
  <si>
    <t>خلفية خضراء</t>
  </si>
  <si>
    <t>محسوب من بيانات الأصول</t>
  </si>
  <si>
    <t>نص أحمر</t>
  </si>
  <si>
    <t>خلية فحص توازن — يجب أن تساوي صفراً</t>
  </si>
  <si>
    <t>تحليل ضريبة القيمة المضافة – الربع الأول 2026</t>
  </si>
  <si>
    <t>تفصيل كامل للمدخلات والمخرجات | جاهز للإقرار الضريبي لدى هيئة الزكاة والضريبة</t>
  </si>
  <si>
    <t>معدل VAT المطبق:</t>
  </si>
  <si>
    <t>← يمكن تعديله إذا تغير المعدل</t>
  </si>
  <si>
    <t>أولاً: ضريبة المخرجات (على المبيعات والإيرادات)</t>
  </si>
  <si>
    <t>الشهر</t>
  </si>
  <si>
    <t>رقم الفاتورة</t>
  </si>
  <si>
    <t>اسم العميل / البيان</t>
  </si>
  <si>
    <t>نوع العملية</t>
  </si>
  <si>
    <t>المبلغ بدون ضريبة</t>
  </si>
  <si>
    <t>ضريبة القيمة المضافة</t>
  </si>
  <si>
    <t>إجمالي الفاتورة</t>
  </si>
  <si>
    <t>اسواق بندر عبيد الدخيل</t>
  </si>
  <si>
    <t>النعايم-مؤسسة بندر زيد سعدي البقعاوي التجارية</t>
  </si>
  <si>
    <t>إجمالي ضريبة المخرجات</t>
  </si>
  <si>
    <t>ثانياً: ضريبة المدخلات (على المشتريات والمصروفات)</t>
  </si>
  <si>
    <t>اسم المورد / البيان</t>
  </si>
  <si>
    <t>BILL/2026/01/0001</t>
  </si>
  <si>
    <t>BILL/2026/01/0015</t>
  </si>
  <si>
    <t>البنك الأهلي السعودي | Saudi National Bank</t>
  </si>
  <si>
    <t>BILL/2026/01/0002</t>
  </si>
  <si>
    <t>بيت الكهرباء السباكة مود البنا</t>
  </si>
  <si>
    <t>BILL/2026/01/0013</t>
  </si>
  <si>
    <t>BILL/2026/01/0004</t>
  </si>
  <si>
    <t>ASRAR AL ASRAR TRADING CO</t>
  </si>
  <si>
    <t>BILL/2026/01/0005</t>
  </si>
  <si>
    <t>اضاءات التجارية</t>
  </si>
  <si>
    <t>BILL/2026/01/0033</t>
  </si>
  <si>
    <t>stc السعودية</t>
  </si>
  <si>
    <t>BILL/2026/01/0009</t>
  </si>
  <si>
    <t>مؤسسة اولاد مفرج لقطع غيار السيارات</t>
  </si>
  <si>
    <t>BILL/2026/01/0008</t>
  </si>
  <si>
    <t>BILL/2026/01/0007</t>
  </si>
  <si>
    <t>BILL/2026/01/0006</t>
  </si>
  <si>
    <t>BILL/2026/01/0011</t>
  </si>
  <si>
    <t>تموينات اساسيات الامانة</t>
  </si>
  <si>
    <t>BILL/2026/01/0016</t>
  </si>
  <si>
    <t>BILL/2026/01/0018</t>
  </si>
  <si>
    <t>الجربوع للبلاستك</t>
  </si>
  <si>
    <t>BILL/2026/01/0014</t>
  </si>
  <si>
    <t>BILL/2026/01/0021</t>
  </si>
  <si>
    <t>Al Rajhi Bank</t>
  </si>
  <si>
    <t>BILL/2026/01/0026</t>
  </si>
  <si>
    <t>محامص ركن قهوتي</t>
  </si>
  <si>
    <t>BILL/2026/01/0027</t>
  </si>
  <si>
    <t>BILL/2026/01/0029</t>
  </si>
  <si>
    <t>BILL/2026/01/0035</t>
  </si>
  <si>
    <t>BILL/2026/01/0074</t>
  </si>
  <si>
    <t>مدد</t>
  </si>
  <si>
    <t>BILL/2026/01/0034</t>
  </si>
  <si>
    <t>BILL/2026/01/0030</t>
  </si>
  <si>
    <t>BILL/2026/01/0036</t>
  </si>
  <si>
    <t>BILL/2026/01/0038</t>
  </si>
  <si>
    <t>BILL/2026/01/0047</t>
  </si>
  <si>
    <t>BILL/2026/01/0037</t>
  </si>
  <si>
    <t>BILL/2026/01/0043</t>
  </si>
  <si>
    <t>متجر سبورتي التعليمي</t>
  </si>
  <si>
    <t>BILL/2026/01/0072</t>
  </si>
  <si>
    <t>BILL/2026/01/0073</t>
  </si>
  <si>
    <t>BILL/2026/01/0053</t>
  </si>
  <si>
    <t>BILL/2026/01/0049</t>
  </si>
  <si>
    <t>BILL/2026/01/0051</t>
  </si>
  <si>
    <t>شركة علم  ( منصة مقيم )</t>
  </si>
  <si>
    <t>BILL/2026/01/0050</t>
  </si>
  <si>
    <t>BILL/2026/01/0056</t>
  </si>
  <si>
    <t>مؤسسة فيصل بعد العزيز الجربوع</t>
  </si>
  <si>
    <t>BILL/2026/01/0055</t>
  </si>
  <si>
    <t>شركة سنا للكهرباء والهاتف</t>
  </si>
  <si>
    <t>BILL/2026/01/0054</t>
  </si>
  <si>
    <t>BILL/2026/01/0060</t>
  </si>
  <si>
    <t>BILL/2026/01/0059</t>
  </si>
  <si>
    <t>MOBILY</t>
  </si>
  <si>
    <t>BILL/2026/01/0061</t>
  </si>
  <si>
    <t>Saudi Electricity</t>
  </si>
  <si>
    <t>BILL/2026/01/0063</t>
  </si>
  <si>
    <t>BILL/2026/01/0065</t>
  </si>
  <si>
    <t>JARIR BOOKSTORE</t>
  </si>
  <si>
    <t>BILL/2026/01/0071</t>
  </si>
  <si>
    <t>BILL/2026/01/0067</t>
  </si>
  <si>
    <t>BILL/2026/01/0069</t>
  </si>
  <si>
    <t>مؤسسة بدرية سعود الزقدي التجارية</t>
  </si>
  <si>
    <t>BILL/2026/01/0066</t>
  </si>
  <si>
    <t>BILL/2026/01/0075</t>
  </si>
  <si>
    <t>ريادة واعمال لتقنية المعلومات</t>
  </si>
  <si>
    <t>BILL/2026/02/0002</t>
  </si>
  <si>
    <t>BILL/2026/02/0003</t>
  </si>
  <si>
    <t>BILL/2026/02/0004</t>
  </si>
  <si>
    <t>شركة عالم الصفوة للتجارة</t>
  </si>
  <si>
    <t>BILL/2026/02/0006</t>
  </si>
  <si>
    <t>شركة صفوة التفاصيل للمقاولات</t>
  </si>
  <si>
    <t>BILL/2026/02/0020</t>
  </si>
  <si>
    <t>BILL/2026/02/0009</t>
  </si>
  <si>
    <t>محطة نوارة للمحروقات ( فرع بقعاء)</t>
  </si>
  <si>
    <t>BILL/2026/02/0008</t>
  </si>
  <si>
    <t>شركة صلاح محمد بارباع مراجعون ومحاسبون قانونيون</t>
  </si>
  <si>
    <t>BILL/2026/02/0012</t>
  </si>
  <si>
    <t>شركة الدريس للخدمات البترولية و النقليات</t>
  </si>
  <si>
    <t>BILL/2026/02/0013</t>
  </si>
  <si>
    <t>BILL/2026/02/0011</t>
  </si>
  <si>
    <t>BILL/2026/02/0015</t>
  </si>
  <si>
    <t>BILL/2026/02/0028</t>
  </si>
  <si>
    <t>BILL/2026/02/0017</t>
  </si>
  <si>
    <t>مؤسسة هدف ببقعاء لمواد البناء</t>
  </si>
  <si>
    <t>BILL/2026/02/0021</t>
  </si>
  <si>
    <t>BILL/2026/02/0033</t>
  </si>
  <si>
    <t>شركة بترولى للخدمات البترولية والنقليات</t>
  </si>
  <si>
    <t>BILL/2026/02/0023</t>
  </si>
  <si>
    <t>BILL/2026/02/0018</t>
  </si>
  <si>
    <t>محلات الصعيدي للعدد الزراعية</t>
  </si>
  <si>
    <t>BILL/2026/02/0027</t>
  </si>
  <si>
    <t>BILL/2026/02/0019</t>
  </si>
  <si>
    <t>BILL/2026/02/0092</t>
  </si>
  <si>
    <t>BILL/2026/02/0024</t>
  </si>
  <si>
    <t>BILL/2026/02/0031</t>
  </si>
  <si>
    <t>BILL/2026/02/0026</t>
  </si>
  <si>
    <t>BILL/2026/02/0025</t>
  </si>
  <si>
    <t>BILL/2026/02/0029</t>
  </si>
  <si>
    <t>شركة عبر الخليج للتسوق</t>
  </si>
  <si>
    <t>BILL/2026/02/0030</t>
  </si>
  <si>
    <t>BILL/2026/02/0052</t>
  </si>
  <si>
    <t>BILL/2026/02/0035</t>
  </si>
  <si>
    <t>مؤسسة خط الغيوم للاتصالات و تقنية المعلومات</t>
  </si>
  <si>
    <t>BILL/2026/02/0087</t>
  </si>
  <si>
    <t>BILL/2026/02/0040</t>
  </si>
  <si>
    <t>BILL/2026/02/0091</t>
  </si>
  <si>
    <t>BILL/2026/02/0042</t>
  </si>
  <si>
    <t>BILL/2026/02/0053</t>
  </si>
  <si>
    <t>BILL/2026/02/0054</t>
  </si>
  <si>
    <t>BILL/2026/02/0041</t>
  </si>
  <si>
    <t>BILL/2026/02/0036</t>
  </si>
  <si>
    <t>BILL/2026/02/0039</t>
  </si>
  <si>
    <t>محطة سلمان سعد سعود البقعاوي للوقود</t>
  </si>
  <si>
    <t>BILL/2026/02/0085</t>
  </si>
  <si>
    <t>BILL/2026/02/0048</t>
  </si>
  <si>
    <t>مؤسسة طرقي عقلا الشملاني للمقاولات</t>
  </si>
  <si>
    <t>BILL/2026/02/0045</t>
  </si>
  <si>
    <t>شركة الزقزوق للاجهزة المنزلية</t>
  </si>
  <si>
    <t>BILL/2026/02/0083</t>
  </si>
  <si>
    <t>BILL/2026/02/0049</t>
  </si>
  <si>
    <t>اشركة الزغيبي للتجارة بقعاء</t>
  </si>
  <si>
    <t>BILL/2026/02/0050</t>
  </si>
  <si>
    <t>تموينات ركن الؤونة</t>
  </si>
  <si>
    <t>BILL/2026/02/0084</t>
  </si>
  <si>
    <t>BILL/2026/02/0060</t>
  </si>
  <si>
    <t>BILL/2026/02/0051</t>
  </si>
  <si>
    <t>BILL/2026/02/0068</t>
  </si>
  <si>
    <t>BILL/2026/02/0061</t>
  </si>
  <si>
    <t>مكتبة الدخيل</t>
  </si>
  <si>
    <t>BILL/2026/02/0059</t>
  </si>
  <si>
    <t>BILL/2026/02/0058</t>
  </si>
  <si>
    <t>BILL/2026/02/0086</t>
  </si>
  <si>
    <t>BILL/2026/02/0057</t>
  </si>
  <si>
    <t>BILL/2026/02/0089</t>
  </si>
  <si>
    <t>BILL/2026/02/0080</t>
  </si>
  <si>
    <t>BILL/2026/02/0082</t>
  </si>
  <si>
    <t>BILL/2026/02/0062</t>
  </si>
  <si>
    <t>BILL/2026/02/0066</t>
  </si>
  <si>
    <t>شركة المياه الوطنية</t>
  </si>
  <si>
    <t>BILL/2026/02/0090</t>
  </si>
  <si>
    <t>BILL/2026/02/0064</t>
  </si>
  <si>
    <t>مؤسسة سالم بن محمد السكيبي التجارية</t>
  </si>
  <si>
    <t>BILL/2026/02/0065</t>
  </si>
  <si>
    <t>BILL/2026/02/0074</t>
  </si>
  <si>
    <t>BILL/2026/02/0081</t>
  </si>
  <si>
    <t>BILL/2026/02/0067</t>
  </si>
  <si>
    <t>BILL/2026/02/0071</t>
  </si>
  <si>
    <t>Anthropic, PBC</t>
  </si>
  <si>
    <t>BILL/2026/02/0069</t>
  </si>
  <si>
    <t>BILL/2026/02/0078</t>
  </si>
  <si>
    <t>الشركة السعودية للكهرباء</t>
  </si>
  <si>
    <t>BILL/2026/02/0093</t>
  </si>
  <si>
    <t>BILL/2026/03/0002</t>
  </si>
  <si>
    <t>شركة وادي احد لقطع غيار السيارات</t>
  </si>
  <si>
    <t>BILL/2026/03/0004</t>
  </si>
  <si>
    <t>BILL/2026/03/0030</t>
  </si>
  <si>
    <t>BILL/2026/03/0007</t>
  </si>
  <si>
    <t>BILL/2026/03/0006</t>
  </si>
  <si>
    <t>BILL/2026/03/0008</t>
  </si>
  <si>
    <t>BILL/2026/03/0005</t>
  </si>
  <si>
    <t>BILL/2026/03/0039</t>
  </si>
  <si>
    <t>BILL/2026/03/0009</t>
  </si>
  <si>
    <t>BILL/2026/03/0012</t>
  </si>
  <si>
    <t>BILL/2026/03/0017</t>
  </si>
  <si>
    <t>BILL/2026/03/0016</t>
  </si>
  <si>
    <t>شركة كل شي للتجارة</t>
  </si>
  <si>
    <t>BILL/2026/03/0015</t>
  </si>
  <si>
    <t>شركة كيف راجح للتجارة</t>
  </si>
  <si>
    <t>BILL/2026/03/0033</t>
  </si>
  <si>
    <t>BILL/2026/03/0031</t>
  </si>
  <si>
    <t>BILL/2026/03/0029</t>
  </si>
  <si>
    <t>BILL/2026/03/0034</t>
  </si>
  <si>
    <t>BILL/2026/03/0028</t>
  </si>
  <si>
    <t>BILL/2026/03/0020</t>
  </si>
  <si>
    <t>BILL/2026/03/0021</t>
  </si>
  <si>
    <t>BILL/2026/03/0022</t>
  </si>
  <si>
    <t>BILL/2026/03/0019</t>
  </si>
  <si>
    <t>BILL/2026/03/0018</t>
  </si>
  <si>
    <t>BILL/2026/03/0025</t>
  </si>
  <si>
    <t>BILL/2026/03/0040</t>
  </si>
  <si>
    <t>BILL/2026/03/0024</t>
  </si>
  <si>
    <t>إجمالي ضريبة المدخلات</t>
  </si>
  <si>
    <t>ثالثاً: ملخص الإقرار الضريبي – الربع الأول 2026</t>
  </si>
  <si>
    <t>المبيعات الخاضعة للضريبة (بدون ضريبة)</t>
  </si>
  <si>
    <t>خانة 1 في الإقرار</t>
  </si>
  <si>
    <t>ضريبة المخرجات (15% على المبيعات)</t>
  </si>
  <si>
    <t>خانة 2 في الإقرار</t>
  </si>
  <si>
    <t>المشتريات الخاضعة للضريبة (بدون ضريبة)</t>
  </si>
  <si>
    <t>خانة 6 في الإقرار</t>
  </si>
  <si>
    <t>ضريبة المدخلات (15% على المشتريات)</t>
  </si>
  <si>
    <t>خانة 7 في الإقرار</t>
  </si>
  <si>
    <t>صافي الضريبة المستحقة (مخرجات - مدخلات)</t>
  </si>
  <si>
    <t>الضريبة المستحقة للدفع</t>
  </si>
  <si>
    <t>تحليل شهري للضريبة</t>
  </si>
  <si>
    <t>مبيعات بدون ضريبة</t>
  </si>
  <si>
    <t>ضريبة مخرجات</t>
  </si>
  <si>
    <t>مشتريات بدون ضريبة</t>
  </si>
  <si>
    <t>ضريبة مدخلات</t>
  </si>
  <si>
    <t>صافي VAT</t>
  </si>
  <si>
    <t>يناير</t>
  </si>
  <si>
    <t>فبراير</t>
  </si>
  <si>
    <t>مارس</t>
  </si>
  <si>
    <t>إجمالي الربع</t>
  </si>
  <si>
    <t>تحليل الذمم المدينة والدائنة مع تحليل التقادم</t>
  </si>
  <si>
    <t>الربع الأول 2026 | تحليل العملاء – الموردون – التقادم – الديون المشكوك فيها</t>
  </si>
  <si>
    <t>أولاً: تحليل ذمم العملاء (مدينة)</t>
  </si>
  <si>
    <t>اسم العميل</t>
  </si>
  <si>
    <t>نوع النشاط</t>
  </si>
  <si>
    <t>إجمالي الرصيد</t>
  </si>
  <si>
    <t>0–30 يوم</t>
  </si>
  <si>
    <t>31–60 يوم</t>
  </si>
  <si>
    <t>61–90 يوم</t>
  </si>
  <si>
    <t>أكثر من 90 يوم</t>
  </si>
  <si>
    <t>الحالة</t>
  </si>
  <si>
    <t>إجمالي ذمم العملاء</t>
  </si>
  <si>
    <t>تحليل نسب التقادم – العملاء</t>
  </si>
  <si>
    <t>%</t>
  </si>
  <si>
    <t>مخصص الديون المشكوك فيها (المقترح)</t>
  </si>
  <si>
    <t>← معدل المخصص قابل للتعديل</t>
  </si>
  <si>
    <t>&gt;90 يوم</t>
  </si>
  <si>
    <t>إجمالي المخصص المقترح</t>
  </si>
  <si>
    <t>ثانياً: تحليل ذمم الموردين (دائنة)</t>
  </si>
  <si>
    <t>اسم المورد</t>
  </si>
  <si>
    <t>نوع التوريد</t>
  </si>
  <si>
    <t>أولوية السداد</t>
  </si>
  <si>
    <t>إجمالي ذمم الموردين</t>
  </si>
  <si>
    <t>ملخص صافي المركز المالي – عملاء مقابل موردين</t>
  </si>
  <si>
    <t>إجمالي ذمم العملاء (مدين)</t>
  </si>
  <si>
    <t>إجمالي ذمم الموردين (دائن)</t>
  </si>
  <si>
    <t>صافي المركز (عملاء – موردون)</t>
  </si>
  <si>
    <t>مصروف فوائد القروض (  تكلفة تمويل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</si>
</sst>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0.00\x"/>
    <numFmt numFmtId="166" formatCode="#,##0.00;\(#,##0.00\);\-"/>
    <numFmt numFmtId="167" formatCode="#,##0.0_);\(#,##0.0\)"/>
    <numFmt numFmtId="168" formatCode="yyyy\-mm\-dd"/>
    <numFmt numFmtId="169" formatCode="#,##0.000000000_);\(#,##0.000000000\)"/>
  </numFmts>
  <fonts count="47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1F497D"/>
      <name val="Arial"/>
      <family val="2"/>
    </font>
    <font>
      <sz val="10"/>
      <name val="Arial"/>
      <family val="2"/>
    </font>
    <font>
      <sz val="11"/>
      <color rgb="FF2E75B6"/>
      <name val="Arial"/>
      <family val="2"/>
    </font>
    <font>
      <b/>
      <sz val="11"/>
      <color rgb="FF1F4E79"/>
      <name val="Arial"/>
      <family val="2"/>
    </font>
    <font>
      <b/>
      <sz val="11"/>
      <color rgb="FF2E75B6"/>
      <name val="Arial"/>
      <family val="2"/>
    </font>
    <font>
      <b/>
      <sz val="11"/>
      <color rgb="FF375623"/>
      <name val="Arial"/>
      <family val="2"/>
    </font>
    <font>
      <sz val="9"/>
      <color rgb="FF7F7F7F"/>
      <name val="Arial"/>
      <family val="2"/>
    </font>
    <font>
      <b/>
      <sz val="11"/>
      <color rgb="FF7030A0"/>
      <name val="Arial"/>
      <family val="2"/>
    </font>
    <font>
      <b/>
      <sz val="11"/>
      <color rgb="FFC00000"/>
      <name val="Arial"/>
      <family val="2"/>
    </font>
    <font>
      <b/>
      <sz val="10"/>
      <color rgb="FF000000"/>
      <name val="Arial"/>
      <family val="2"/>
    </font>
    <font>
      <b/>
      <sz val="10"/>
      <color rgb="FF1F3864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rgb="FFFFFFFF"/>
      <name val="Arial"/>
      <family val="2"/>
    </font>
    <font>
      <b/>
      <sz val="12"/>
      <color rgb="FFFFFFFF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11"/>
      <color theme="1"/>
      <name val="FreeSans"/>
      <family val="2"/>
      <charset val="1"/>
    </font>
    <font>
      <sz val="11"/>
      <color theme="1"/>
      <name val="FreeSans"/>
      <family val="2"/>
    </font>
    <font>
      <sz val="10"/>
      <color rgb="FF1F497D"/>
      <name val="Arial"/>
      <family val="2"/>
    </font>
    <font>
      <b/>
      <sz val="10"/>
      <color rgb="FF0070C0"/>
      <name val="Arial"/>
      <family val="2"/>
    </font>
    <font>
      <b/>
      <sz val="13"/>
      <color rgb="FFFFFFFF"/>
      <name val="Arial"/>
      <family val="2"/>
    </font>
    <font>
      <sz val="10"/>
      <color rgb="FF0000FF"/>
      <name val="Arial"/>
      <family val="2"/>
    </font>
    <font>
      <i/>
      <sz val="9"/>
      <color rgb="FF888888"/>
      <name val="Arial"/>
      <family val="2"/>
    </font>
    <font>
      <sz val="10"/>
      <name val="Arial"/>
      <family val="2"/>
      <charset val="1"/>
    </font>
    <font>
      <sz val="10"/>
      <color rgb="FF555555"/>
      <name val="Arial"/>
      <family val="2"/>
    </font>
    <font>
      <i/>
      <sz val="9"/>
      <color rgb="FF555555"/>
      <name val="Arial"/>
      <family val="2"/>
    </font>
    <font>
      <sz val="10"/>
      <color rgb="FF1F3864"/>
      <name val="Arial"/>
      <family val="2"/>
    </font>
    <font>
      <i/>
      <sz val="9"/>
      <name val="Arial"/>
      <family val="2"/>
    </font>
    <font>
      <sz val="11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2"/>
      <color rgb="FF000000"/>
      <name val="Arial"/>
      <family val="2"/>
    </font>
    <font>
      <b/>
      <sz val="12"/>
      <color rgb="FF0000FF"/>
      <name val="Arial"/>
      <family val="2"/>
    </font>
    <font>
      <b/>
      <sz val="12"/>
      <color rgb="FF0070C0"/>
      <name val="Arial"/>
      <family val="2"/>
    </font>
    <font>
      <b/>
      <sz val="12"/>
      <color rgb="FFFF0000"/>
      <name val="Arial"/>
      <family val="2"/>
    </font>
    <font>
      <b/>
      <sz val="12"/>
      <color rgb="FF00B050"/>
      <name val="Arial"/>
      <family val="2"/>
    </font>
    <font>
      <b/>
      <sz val="12"/>
      <color theme="5" tint="-0.249977111117893"/>
      <name val="Arial"/>
      <family val="2"/>
    </font>
    <font>
      <b/>
      <sz val="12"/>
      <color theme="9" tint="-0.499984740745262"/>
      <name val="Arial"/>
      <family val="2"/>
    </font>
    <font>
      <b/>
      <sz val="12"/>
      <color theme="0"/>
      <name val="Calibri"/>
      <family val="2"/>
      <charset val="178"/>
    </font>
    <font>
      <b/>
      <sz val="12"/>
      <color theme="0"/>
      <name val="FreeSans"/>
      <family val="2"/>
      <charset val="178"/>
    </font>
    <font>
      <sz val="11"/>
      <color theme="0"/>
      <name val="Calibri"/>
      <family val="2"/>
      <charset val="178"/>
    </font>
  </fonts>
  <fills count="17">
    <fill>
      <patternFill patternType="none"/>
    </fill>
    <fill>
      <patternFill patternType="gray125"/>
    </fill>
    <fill>
      <patternFill patternType="solid">
        <fgColor rgb="FF1F3864"/>
        <bgColor rgb="FF1F497D"/>
      </patternFill>
    </fill>
    <fill>
      <patternFill patternType="solid">
        <fgColor rgb="FF2E75B6"/>
        <bgColor rgb="FF0070C0"/>
      </patternFill>
    </fill>
    <fill>
      <patternFill patternType="solid">
        <fgColor rgb="FFF2F7FB"/>
        <bgColor rgb="FFEBF5FB"/>
      </patternFill>
    </fill>
    <fill>
      <patternFill patternType="solid">
        <fgColor rgb="FFEBF5FB"/>
        <bgColor rgb="FFF2F7FB"/>
      </patternFill>
    </fill>
    <fill>
      <patternFill patternType="solid">
        <fgColor rgb="FFFFFFFF"/>
        <bgColor rgb="FFF2F7FB"/>
      </patternFill>
    </fill>
    <fill>
      <patternFill patternType="solid">
        <fgColor rgb="FF375623"/>
        <bgColor rgb="FF1E5631"/>
      </patternFill>
    </fill>
    <fill>
      <patternFill patternType="solid">
        <fgColor rgb="FFED7D31"/>
        <bgColor rgb="FFFF8080"/>
      </patternFill>
    </fill>
    <fill>
      <patternFill patternType="solid">
        <fgColor rgb="FFBDD7EE"/>
        <bgColor rgb="FFD6E4F0"/>
      </patternFill>
    </fill>
    <fill>
      <patternFill patternType="solid">
        <fgColor rgb="FFD6E4F0"/>
        <bgColor rgb="FFDEEAF1"/>
      </patternFill>
    </fill>
    <fill>
      <patternFill patternType="solid">
        <fgColor rgb="FFFFE0E0"/>
        <bgColor rgb="FFFCE4D6"/>
      </patternFill>
    </fill>
    <fill>
      <patternFill patternType="solid">
        <fgColor rgb="FFDEEAF1"/>
        <bgColor rgb="FFD6E4F0"/>
      </patternFill>
    </fill>
    <fill>
      <patternFill patternType="solid">
        <fgColor rgb="FFFFF2CC"/>
        <bgColor rgb="FFFCE4D6"/>
      </patternFill>
    </fill>
    <fill>
      <patternFill patternType="solid">
        <fgColor rgb="FFE2EFDA"/>
        <bgColor rgb="FFDEEAF1"/>
      </patternFill>
    </fill>
    <fill>
      <patternFill patternType="solid">
        <fgColor rgb="FFFF0000"/>
        <bgColor rgb="FFC00000"/>
      </patternFill>
    </fill>
    <fill>
      <patternFill patternType="solid">
        <fgColor rgb="FFFCE4D6"/>
        <bgColor rgb="FFFFE0E0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</borders>
  <cellStyleXfs count="3">
    <xf numFmtId="0" fontId="0" fillId="0" borderId="0"/>
    <xf numFmtId="0" fontId="35" fillId="0" borderId="0"/>
    <xf numFmtId="0" fontId="35" fillId="0" borderId="0"/>
  </cellStyleXfs>
  <cellXfs count="167">
    <xf numFmtId="0" fontId="0" fillId="0" borderId="0" xfId="0"/>
    <xf numFmtId="0" fontId="3" fillId="3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5" fillId="4" borderId="1" xfId="0" applyFont="1" applyFill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/>
    </xf>
    <xf numFmtId="0" fontId="5" fillId="6" borderId="1" xfId="0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right" vertical="center"/>
    </xf>
    <xf numFmtId="1" fontId="5" fillId="5" borderId="1" xfId="0" applyNumberFormat="1" applyFont="1" applyFill="1" applyBorder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4" fontId="14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right" vertical="center"/>
    </xf>
    <xf numFmtId="0" fontId="15" fillId="9" borderId="1" xfId="0" applyFont="1" applyFill="1" applyBorder="1" applyAlignment="1">
      <alignment horizontal="right" vertical="center"/>
    </xf>
    <xf numFmtId="4" fontId="16" fillId="10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17" fillId="6" borderId="1" xfId="0" applyFont="1" applyFill="1" applyBorder="1" applyAlignment="1">
      <alignment horizontal="right" vertical="center"/>
    </xf>
    <xf numFmtId="4" fontId="18" fillId="11" borderId="1" xfId="0" applyNumberFormat="1" applyFont="1" applyFill="1" applyBorder="1" applyAlignment="1">
      <alignment horizontal="right" vertical="center"/>
    </xf>
    <xf numFmtId="166" fontId="22" fillId="13" borderId="1" xfId="0" applyNumberFormat="1" applyFont="1" applyFill="1" applyBorder="1" applyAlignment="1">
      <alignment horizontal="right" vertical="center"/>
    </xf>
    <xf numFmtId="166" fontId="2" fillId="3" borderId="1" xfId="0" applyNumberFormat="1" applyFont="1" applyFill="1" applyBorder="1" applyAlignment="1">
      <alignment horizontal="right" vertical="center"/>
    </xf>
    <xf numFmtId="166" fontId="2" fillId="7" borderId="1" xfId="0" applyNumberFormat="1" applyFont="1" applyFill="1" applyBorder="1" applyAlignment="1">
      <alignment horizontal="right" vertical="center"/>
    </xf>
    <xf numFmtId="166" fontId="15" fillId="9" borderId="1" xfId="0" applyNumberFormat="1" applyFont="1" applyFill="1" applyBorder="1" applyAlignment="1">
      <alignment horizontal="right" vertical="center"/>
    </xf>
    <xf numFmtId="0" fontId="23" fillId="0" borderId="0" xfId="0" applyFont="1"/>
    <xf numFmtId="0" fontId="24" fillId="0" borderId="0" xfId="0" applyFont="1"/>
    <xf numFmtId="164" fontId="25" fillId="5" borderId="0" xfId="0" applyNumberFormat="1" applyFont="1" applyFill="1" applyAlignment="1">
      <alignment horizontal="right" vertical="center"/>
    </xf>
    <xf numFmtId="0" fontId="15" fillId="12" borderId="1" xfId="0" applyFont="1" applyFill="1" applyBorder="1" applyAlignment="1">
      <alignment horizontal="right" vertical="center"/>
    </xf>
    <xf numFmtId="164" fontId="25" fillId="5" borderId="1" xfId="0" applyNumberFormat="1" applyFont="1" applyFill="1" applyBorder="1" applyAlignment="1">
      <alignment horizontal="right" vertical="center"/>
    </xf>
    <xf numFmtId="0" fontId="26" fillId="13" borderId="3" xfId="0" applyFont="1" applyFill="1" applyBorder="1" applyAlignment="1">
      <alignment horizontal="right" vertical="center"/>
    </xf>
    <xf numFmtId="166" fontId="26" fillId="13" borderId="3" xfId="0" applyNumberFormat="1" applyFont="1" applyFill="1" applyBorder="1" applyAlignment="1">
      <alignment horizontal="right" vertical="center"/>
    </xf>
    <xf numFmtId="164" fontId="26" fillId="13" borderId="3" xfId="0" applyNumberFormat="1" applyFont="1" applyFill="1" applyBorder="1" applyAlignment="1">
      <alignment horizontal="center" vertical="center"/>
    </xf>
    <xf numFmtId="0" fontId="0" fillId="0" borderId="4" xfId="0" applyBorder="1"/>
    <xf numFmtId="0" fontId="3" fillId="7" borderId="0" xfId="0" applyFont="1" applyFill="1" applyAlignment="1">
      <alignment horizontal="right" vertical="center"/>
    </xf>
    <xf numFmtId="166" fontId="21" fillId="10" borderId="1" xfId="0" applyNumberFormat="1" applyFont="1" applyFill="1" applyBorder="1" applyAlignment="1">
      <alignment horizontal="right" vertical="center"/>
    </xf>
    <xf numFmtId="0" fontId="0" fillId="0" borderId="5" xfId="0" applyBorder="1"/>
    <xf numFmtId="166" fontId="21" fillId="0" borderId="0" xfId="0" applyNumberFormat="1" applyFont="1" applyAlignment="1">
      <alignment horizontal="right" vertical="center"/>
    </xf>
    <xf numFmtId="164" fontId="0" fillId="0" borderId="0" xfId="0" applyNumberFormat="1"/>
    <xf numFmtId="0" fontId="20" fillId="3" borderId="0" xfId="0" applyFont="1" applyFill="1"/>
    <xf numFmtId="0" fontId="20" fillId="3" borderId="1" xfId="0" applyFont="1" applyFill="1" applyBorder="1" applyAlignment="1">
      <alignment horizontal="right" vertical="center"/>
    </xf>
    <xf numFmtId="0" fontId="5" fillId="13" borderId="1" xfId="0" applyFont="1" applyFill="1" applyBorder="1" applyAlignment="1">
      <alignment horizontal="right" vertical="center"/>
    </xf>
    <xf numFmtId="0" fontId="5" fillId="12" borderId="1" xfId="0" applyFont="1" applyFill="1" applyBorder="1" applyAlignment="1">
      <alignment horizontal="right" vertical="center"/>
    </xf>
    <xf numFmtId="166" fontId="5" fillId="12" borderId="1" xfId="0" applyNumberFormat="1" applyFont="1" applyFill="1" applyBorder="1" applyAlignment="1">
      <alignment horizontal="right" vertical="center"/>
    </xf>
    <xf numFmtId="166" fontId="28" fillId="13" borderId="1" xfId="0" applyNumberFormat="1" applyFont="1" applyFill="1" applyBorder="1" applyAlignment="1">
      <alignment horizontal="right" vertical="center"/>
    </xf>
    <xf numFmtId="166" fontId="5" fillId="9" borderId="1" xfId="0" applyNumberFormat="1" applyFont="1" applyFill="1" applyBorder="1" applyAlignment="1">
      <alignment horizontal="right" vertical="center"/>
    </xf>
    <xf numFmtId="0" fontId="28" fillId="13" borderId="1" xfId="0" applyFont="1" applyFill="1" applyBorder="1" applyAlignment="1">
      <alignment horizontal="right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66" fontId="18" fillId="0" borderId="1" xfId="0" applyNumberFormat="1" applyFont="1" applyBorder="1" applyAlignment="1">
      <alignment horizontal="right" vertical="center"/>
    </xf>
    <xf numFmtId="39" fontId="0" fillId="0" borderId="0" xfId="0" applyNumberFormat="1"/>
    <xf numFmtId="10" fontId="28" fillId="13" borderId="1" xfId="0" applyNumberFormat="1" applyFont="1" applyFill="1" applyBorder="1" applyAlignment="1">
      <alignment horizontal="right" vertical="center"/>
    </xf>
    <xf numFmtId="166" fontId="5" fillId="14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right"/>
    </xf>
    <xf numFmtId="0" fontId="17" fillId="0" borderId="0" xfId="0" applyFont="1" applyAlignment="1">
      <alignment horizontal="right"/>
    </xf>
    <xf numFmtId="0" fontId="29" fillId="0" borderId="0" xfId="0" applyFont="1"/>
    <xf numFmtId="0" fontId="7" fillId="13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right" vertical="center"/>
    </xf>
    <xf numFmtId="0" fontId="30" fillId="13" borderId="1" xfId="0" applyFont="1" applyFill="1" applyBorder="1" applyAlignment="1">
      <alignment horizontal="right" vertical="center"/>
    </xf>
    <xf numFmtId="0" fontId="0" fillId="13" borderId="1" xfId="0" applyFill="1" applyBorder="1"/>
    <xf numFmtId="0" fontId="21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0" fillId="12" borderId="1" xfId="0" applyFill="1" applyBorder="1"/>
    <xf numFmtId="0" fontId="0" fillId="9" borderId="1" xfId="0" applyFill="1" applyBorder="1"/>
    <xf numFmtId="0" fontId="0" fillId="14" borderId="1" xfId="0" applyFill="1" applyBorder="1"/>
    <xf numFmtId="0" fontId="0" fillId="15" borderId="1" xfId="0" applyFill="1" applyBorder="1"/>
    <xf numFmtId="10" fontId="22" fillId="13" borderId="1" xfId="0" applyNumberFormat="1" applyFont="1" applyFill="1" applyBorder="1" applyAlignment="1">
      <alignment horizontal="right" vertical="center"/>
    </xf>
    <xf numFmtId="168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6" borderId="1" xfId="0" applyFont="1" applyFill="1" applyBorder="1" applyAlignment="1">
      <alignment horizontal="right" vertical="center"/>
    </xf>
    <xf numFmtId="0" fontId="0" fillId="6" borderId="0" xfId="0" applyFill="1"/>
    <xf numFmtId="0" fontId="22" fillId="4" borderId="1" xfId="0" applyFont="1" applyFill="1" applyBorder="1" applyAlignment="1">
      <alignment horizontal="right" vertical="center"/>
    </xf>
    <xf numFmtId="0" fontId="0" fillId="4" borderId="0" xfId="0" applyFill="1"/>
    <xf numFmtId="4" fontId="16" fillId="5" borderId="1" xfId="0" applyNumberFormat="1" applyFont="1" applyFill="1" applyBorder="1" applyAlignment="1">
      <alignment horizontal="right"/>
    </xf>
    <xf numFmtId="0" fontId="32" fillId="4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9" borderId="0" xfId="0" applyFont="1" applyFill="1" applyAlignment="1">
      <alignment horizontal="right"/>
    </xf>
    <xf numFmtId="0" fontId="33" fillId="5" borderId="0" xfId="0" applyFont="1" applyFill="1" applyAlignment="1">
      <alignment horizontal="center"/>
    </xf>
    <xf numFmtId="0" fontId="16" fillId="10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2" fillId="13" borderId="1" xfId="0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right" vertical="center"/>
    </xf>
    <xf numFmtId="10" fontId="5" fillId="14" borderId="1" xfId="0" applyNumberFormat="1" applyFont="1" applyFill="1" applyBorder="1" applyAlignment="1">
      <alignment horizontal="right" vertical="center"/>
    </xf>
    <xf numFmtId="0" fontId="34" fillId="0" borderId="0" xfId="0" applyFont="1"/>
    <xf numFmtId="166" fontId="5" fillId="6" borderId="1" xfId="0" applyNumberFormat="1" applyFont="1" applyFill="1" applyBorder="1" applyAlignment="1">
      <alignment horizontal="right" vertical="center"/>
    </xf>
    <xf numFmtId="166" fontId="5" fillId="16" borderId="1" xfId="0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horizontal="center" vertical="center"/>
    </xf>
    <xf numFmtId="0" fontId="36" fillId="0" borderId="0" xfId="0" applyFont="1"/>
    <xf numFmtId="0" fontId="20" fillId="3" borderId="0" xfId="0" applyFont="1" applyFill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37" fillId="13" borderId="1" xfId="0" applyFont="1" applyFill="1" applyBorder="1" applyAlignment="1">
      <alignment horizontal="right" vertical="center"/>
    </xf>
    <xf numFmtId="0" fontId="37" fillId="12" borderId="1" xfId="0" applyFont="1" applyFill="1" applyBorder="1" applyAlignment="1">
      <alignment horizontal="right" vertical="center"/>
    </xf>
    <xf numFmtId="166" fontId="37" fillId="12" borderId="1" xfId="0" applyNumberFormat="1" applyFont="1" applyFill="1" applyBorder="1" applyAlignment="1">
      <alignment horizontal="right" vertical="center"/>
    </xf>
    <xf numFmtId="166" fontId="38" fillId="13" borderId="1" xfId="0" applyNumberFormat="1" applyFont="1" applyFill="1" applyBorder="1" applyAlignment="1">
      <alignment horizontal="right" vertical="center"/>
    </xf>
    <xf numFmtId="166" fontId="37" fillId="9" borderId="1" xfId="0" applyNumberFormat="1" applyFont="1" applyFill="1" applyBorder="1" applyAlignment="1">
      <alignment horizontal="right" vertical="center"/>
    </xf>
    <xf numFmtId="166" fontId="39" fillId="13" borderId="1" xfId="0" applyNumberFormat="1" applyFont="1" applyFill="1" applyBorder="1" applyAlignment="1">
      <alignment horizontal="right" vertical="center"/>
    </xf>
    <xf numFmtId="0" fontId="38" fillId="13" borderId="1" xfId="0" applyFont="1" applyFill="1" applyBorder="1" applyAlignment="1">
      <alignment horizontal="right" vertical="center"/>
    </xf>
    <xf numFmtId="0" fontId="40" fillId="12" borderId="1" xfId="0" applyFont="1" applyFill="1" applyBorder="1" applyAlignment="1">
      <alignment horizontal="right" vertical="center"/>
    </xf>
    <xf numFmtId="0" fontId="41" fillId="12" borderId="1" xfId="0" applyFont="1" applyFill="1" applyBorder="1" applyAlignment="1">
      <alignment horizontal="right" vertical="center"/>
    </xf>
    <xf numFmtId="0" fontId="42" fillId="12" borderId="1" xfId="0" applyFont="1" applyFill="1" applyBorder="1" applyAlignment="1">
      <alignment horizontal="right" vertical="center"/>
    </xf>
    <xf numFmtId="166" fontId="42" fillId="12" borderId="1" xfId="0" applyNumberFormat="1" applyFont="1" applyFill="1" applyBorder="1" applyAlignment="1">
      <alignment horizontal="right" vertical="center"/>
    </xf>
    <xf numFmtId="166" fontId="42" fillId="13" borderId="1" xfId="0" applyNumberFormat="1" applyFont="1" applyFill="1" applyBorder="1" applyAlignment="1">
      <alignment horizontal="right" vertical="center"/>
    </xf>
    <xf numFmtId="166" fontId="42" fillId="9" borderId="1" xfId="0" applyNumberFormat="1" applyFont="1" applyFill="1" applyBorder="1" applyAlignment="1">
      <alignment horizontal="right" vertical="center"/>
    </xf>
    <xf numFmtId="0" fontId="43" fillId="12" borderId="1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right" vertical="center"/>
    </xf>
    <xf numFmtId="0" fontId="21" fillId="12" borderId="2" xfId="0" applyFont="1" applyFill="1" applyBorder="1" applyAlignment="1">
      <alignment horizontal="right" vertical="center"/>
    </xf>
    <xf numFmtId="0" fontId="21" fillId="4" borderId="2" xfId="0" applyFont="1" applyFill="1" applyBorder="1" applyAlignment="1">
      <alignment horizontal="right" vertical="center"/>
    </xf>
    <xf numFmtId="0" fontId="7" fillId="6" borderId="2" xfId="0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20" fillId="7" borderId="0" xfId="0" applyFont="1" applyFill="1" applyAlignment="1">
      <alignment horizontal="right" vertical="center"/>
    </xf>
    <xf numFmtId="0" fontId="3" fillId="7" borderId="2" xfId="0" applyFont="1" applyFill="1" applyBorder="1" applyAlignment="1">
      <alignment horizontal="right" vertical="center"/>
    </xf>
    <xf numFmtId="0" fontId="21" fillId="9" borderId="2" xfId="0" applyFont="1" applyFill="1" applyBorder="1" applyAlignment="1">
      <alignment horizontal="right"/>
    </xf>
    <xf numFmtId="0" fontId="21" fillId="12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7" fillId="6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7" fillId="4" borderId="2" xfId="0" applyFont="1" applyFill="1" applyBorder="1" applyAlignment="1">
      <alignment horizontal="right"/>
    </xf>
    <xf numFmtId="0" fontId="20" fillId="2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right" vertical="top" wrapText="1"/>
    </xf>
    <xf numFmtId="0" fontId="3" fillId="7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right" vertical="center"/>
    </xf>
    <xf numFmtId="0" fontId="5" fillId="4" borderId="1" xfId="0" applyFont="1" applyFill="1" applyBorder="1" applyAlignment="1">
      <alignment horizontal="right"/>
    </xf>
    <xf numFmtId="0" fontId="5" fillId="6" borderId="1" xfId="0" applyFont="1" applyFill="1" applyBorder="1" applyAlignment="1">
      <alignment horizontal="right"/>
    </xf>
    <xf numFmtId="0" fontId="18" fillId="9" borderId="1" xfId="0" applyFont="1" applyFill="1" applyBorder="1" applyAlignment="1">
      <alignment horizontal="right"/>
    </xf>
    <xf numFmtId="0" fontId="7" fillId="4" borderId="0" xfId="0" applyFont="1" applyFill="1" applyAlignment="1">
      <alignment horizontal="right"/>
    </xf>
    <xf numFmtId="0" fontId="7" fillId="6" borderId="0" xfId="0" applyFont="1" applyFill="1" applyAlignment="1">
      <alignment horizontal="right"/>
    </xf>
    <xf numFmtId="0" fontId="21" fillId="9" borderId="0" xfId="0" applyFont="1" applyFill="1" applyAlignment="1">
      <alignment horizontal="right"/>
    </xf>
    <xf numFmtId="0" fontId="44" fillId="0" borderId="0" xfId="0" applyFont="1" applyFill="1"/>
    <xf numFmtId="167" fontId="44" fillId="0" borderId="0" xfId="0" applyNumberFormat="1" applyFont="1" applyFill="1"/>
    <xf numFmtId="0" fontId="45" fillId="0" borderId="0" xfId="0" applyFont="1" applyFill="1" applyAlignment="1">
      <alignment horizontal="center" vertical="center"/>
    </xf>
    <xf numFmtId="0" fontId="45" fillId="0" borderId="0" xfId="0" applyFont="1" applyFill="1"/>
    <xf numFmtId="0" fontId="46" fillId="0" borderId="0" xfId="0" applyFont="1" applyFill="1"/>
    <xf numFmtId="169" fontId="44" fillId="0" borderId="0" xfId="0" applyNumberFormat="1" applyFont="1" applyFill="1"/>
    <xf numFmtId="39" fontId="44" fillId="0" borderId="0" xfId="0" applyNumberFormat="1" applyFont="1" applyFill="1"/>
    <xf numFmtId="0" fontId="45" fillId="0" borderId="0" xfId="0" applyFont="1" applyFill="1" applyAlignment="1">
      <alignment horizontal="center"/>
    </xf>
    <xf numFmtId="0" fontId="45" fillId="0" borderId="6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1F4E79"/>
      <rgbColor rgb="FFBFBFBF"/>
      <rgbColor rgb="FF808080"/>
      <rgbColor rgb="FF9999FF"/>
      <rgbColor rgb="FF7030A0"/>
      <rgbColor rgb="FFFFF2CC"/>
      <rgbColor rgb="FFEBF5FB"/>
      <rgbColor rgb="FF660066"/>
      <rgbColor rgb="FFFF8080"/>
      <rgbColor rgb="FF0070C0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AF1"/>
      <rgbColor rgb="FFE2EFDA"/>
      <rgbColor rgb="FFFFE0E0"/>
      <rgbColor rgb="FFD6E4F0"/>
      <rgbColor rgb="FFF2F7FB"/>
      <rgbColor rgb="FFCC99FF"/>
      <rgbColor rgb="FFFCE4D6"/>
      <rgbColor rgb="FF2E75B6"/>
      <rgbColor rgb="FF33CCCC"/>
      <rgbColor rgb="FF99CC00"/>
      <rgbColor rgb="FFFFCC00"/>
      <rgbColor rgb="FFFF9900"/>
      <rgbColor rgb="FFED7D31"/>
      <rgbColor rgb="FF7F7F7F"/>
      <rgbColor rgb="FF888888"/>
      <rgbColor rgb="FF1F3864"/>
      <rgbColor rgb="FF339966"/>
      <rgbColor rgb="FF003300"/>
      <rgbColor rgb="FF1E5631"/>
      <rgbColor rgb="FF993300"/>
      <rgbColor rgb="FF555555"/>
      <rgbColor rgb="FF1F497D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35"/>
  <sheetViews>
    <sheetView rightToLeft="1" topLeftCell="A8" zoomScaleNormal="100" workbookViewId="0">
      <selection activeCell="H22" sqref="H22"/>
    </sheetView>
  </sheetViews>
  <sheetFormatPr defaultColWidth="8.7109375" defaultRowHeight="15"/>
  <cols>
    <col min="1" max="1" width="3" customWidth="1"/>
    <col min="2" max="2" width="28" customWidth="1"/>
    <col min="3" max="3" width="20" customWidth="1"/>
    <col min="4" max="4" width="16" customWidth="1"/>
    <col min="5" max="5" width="24" customWidth="1"/>
  </cols>
  <sheetData>
    <row r="1" spans="1:5" ht="18" customHeight="1">
      <c r="A1" s="117" t="s">
        <v>0</v>
      </c>
      <c r="B1" s="117"/>
      <c r="C1" s="117"/>
      <c r="D1" s="117"/>
      <c r="E1" s="117"/>
    </row>
    <row r="2" spans="1:5" ht="12" customHeight="1">
      <c r="A2" s="122" t="s">
        <v>1</v>
      </c>
      <c r="B2" s="122"/>
      <c r="C2" s="122"/>
      <c r="D2" s="122"/>
      <c r="E2" s="122"/>
    </row>
    <row r="4" spans="1:5" ht="21.75" customHeight="1">
      <c r="A4" s="123" t="s">
        <v>2</v>
      </c>
      <c r="B4" s="123"/>
      <c r="C4" s="123"/>
      <c r="D4" s="123"/>
      <c r="E4" s="123"/>
    </row>
    <row r="5" spans="1:5" ht="15" customHeight="1">
      <c r="A5" s="5" t="s">
        <v>3</v>
      </c>
      <c r="B5" s="5" t="s">
        <v>4</v>
      </c>
      <c r="C5" s="5" t="s">
        <v>5</v>
      </c>
      <c r="D5" s="5" t="s">
        <v>6</v>
      </c>
      <c r="E5" s="6" t="s">
        <v>7</v>
      </c>
    </row>
    <row r="6" spans="1:5" ht="19.5" customHeight="1">
      <c r="A6" s="7">
        <v>1</v>
      </c>
      <c r="B6" s="8" t="s">
        <v>8</v>
      </c>
      <c r="C6" s="9">
        <f>IFERROR('قائمة الدخل'!C15/'قائمة الدخل'!C10,0)</f>
        <v>0</v>
      </c>
      <c r="D6" s="8" t="s">
        <v>9</v>
      </c>
      <c r="E6" s="10" t="str">
        <f>IF(C6&gt;=0.3,"✅ ممتاز",IF(C6&gt;=0.2,"⚠️ مقبول","🔴 ضعيف"))</f>
        <v>🔴 ضعيف</v>
      </c>
    </row>
    <row r="7" spans="1:5" ht="19.5" customHeight="1">
      <c r="A7" s="11">
        <v>2</v>
      </c>
      <c r="B7" s="12" t="s">
        <v>10</v>
      </c>
      <c r="C7" s="9">
        <f>IFERROR('قائمة الدخل'!C45/'قائمة الدخل'!C10,0)</f>
        <v>0</v>
      </c>
      <c r="D7" s="12" t="s">
        <v>11</v>
      </c>
      <c r="E7" s="13" t="str">
        <f>IF(C7&gt;=0.1,"✅ ممتاز",IF(C7&gt;=0.05,"⚠️ مقبول","🔴 ضعيف"))</f>
        <v>🔴 ضعيف</v>
      </c>
    </row>
    <row r="8" spans="1:5" ht="19.5" customHeight="1">
      <c r="A8" s="7">
        <v>3</v>
      </c>
      <c r="B8" s="8" t="s">
        <v>12</v>
      </c>
      <c r="C8" s="9">
        <f>IFERROR('قائمة الدخل'!C54/'قائمة الدخل'!C10,0)</f>
        <v>0</v>
      </c>
      <c r="D8" s="8" t="s">
        <v>13</v>
      </c>
      <c r="E8" s="10" t="str">
        <f>IF(C8&gt;=0.05,"✅ ممتاز",IF(C8&gt;=0.02,"⚠️ مقبول","🔴 ضعيف"))</f>
        <v>🔴 ضعيف</v>
      </c>
    </row>
    <row r="10" spans="1:5" ht="21.75" customHeight="1">
      <c r="A10" s="118" t="s">
        <v>14</v>
      </c>
      <c r="B10" s="118"/>
      <c r="C10" s="118"/>
      <c r="D10" s="118"/>
      <c r="E10" s="118"/>
    </row>
    <row r="11" spans="1:5" ht="15" customHeight="1">
      <c r="A11" s="5" t="s">
        <v>3</v>
      </c>
      <c r="B11" s="5" t="s">
        <v>4</v>
      </c>
      <c r="C11" s="5" t="s">
        <v>5</v>
      </c>
      <c r="D11" s="5" t="s">
        <v>6</v>
      </c>
      <c r="E11" s="6" t="s">
        <v>7</v>
      </c>
    </row>
    <row r="12" spans="1:5" ht="19.5" customHeight="1">
      <c r="A12" s="7">
        <v>1</v>
      </c>
      <c r="B12" s="8" t="s">
        <v>15</v>
      </c>
      <c r="C12" s="14">
        <f>IFERROR('الميزانية العمومية'!C14/'الميزانية العمومية'!C38,0)</f>
        <v>0</v>
      </c>
      <c r="D12" s="8" t="s">
        <v>16</v>
      </c>
      <c r="E12" s="10" t="str">
        <f>IF(C12&gt;=1.5,"✅ ممتاز",IF(C12&gt;=1,"⚠️ مقبول","🔴 ضعيف"))</f>
        <v>🔴 ضعيف</v>
      </c>
    </row>
    <row r="13" spans="1:5" ht="19.5" customHeight="1">
      <c r="A13" s="11">
        <v>2</v>
      </c>
      <c r="B13" s="12" t="s">
        <v>17</v>
      </c>
      <c r="C13" s="14">
        <f>IFERROR(('الميزانية العمومية'!C7+'الميزانية العمومية'!C8)/'الميزانية العمومية'!C38,0)</f>
        <v>0</v>
      </c>
      <c r="D13" s="12" t="s">
        <v>18</v>
      </c>
      <c r="E13" s="13" t="str">
        <f>IF(C13&gt;=1,"✅ ممتاز",IF(C13&gt;=0.7,"⚠️ مقبول","🔴 ضعيف"))</f>
        <v>🔴 ضعيف</v>
      </c>
    </row>
    <row r="14" spans="1:5" ht="19.5" customHeight="1">
      <c r="A14" s="7">
        <v>3</v>
      </c>
      <c r="B14" s="8" t="s">
        <v>19</v>
      </c>
      <c r="C14" s="15">
        <f>IFERROR('الميزانية العمومية'!C8/'قائمة الدخل'!C10*90,0)</f>
        <v>0</v>
      </c>
      <c r="D14" s="8" t="s">
        <v>20</v>
      </c>
      <c r="E14" s="10" t="str">
        <f>IF(C14&lt;=30,"✅ ممتاز",IF(C14&lt;=60,"⚠️ جيد","🔴 بطيء"))</f>
        <v>✅ ممتاز</v>
      </c>
    </row>
    <row r="15" spans="1:5" ht="19.5" customHeight="1">
      <c r="A15" s="11">
        <v>4</v>
      </c>
      <c r="B15" s="12" t="s">
        <v>21</v>
      </c>
      <c r="C15" s="15">
        <f>IFERROR('الميزانية العمومية'!C30/'قائمة الدخل'!C13*90,0)</f>
        <v>0</v>
      </c>
      <c r="D15" s="12" t="s">
        <v>22</v>
      </c>
      <c r="E15" s="13" t="str">
        <f>IF(C15&gt;=30,"✅ جيد",IF(C15&gt;=15,"⚠️ متوسط","🔴 سريع"))</f>
        <v>🔴 سريع</v>
      </c>
    </row>
    <row r="17" spans="1:5" ht="21.75" customHeight="1">
      <c r="A17" s="124" t="s">
        <v>23</v>
      </c>
      <c r="B17" s="124"/>
      <c r="C17" s="124"/>
      <c r="D17" s="124"/>
      <c r="E17" s="124"/>
    </row>
    <row r="18" spans="1:5" ht="15" customHeight="1">
      <c r="A18" s="5" t="s">
        <v>3</v>
      </c>
      <c r="B18" s="5" t="s">
        <v>4</v>
      </c>
      <c r="C18" s="5" t="s">
        <v>5</v>
      </c>
      <c r="D18" s="5" t="s">
        <v>6</v>
      </c>
      <c r="E18" s="6" t="s">
        <v>7</v>
      </c>
    </row>
    <row r="19" spans="1:5" ht="19.5" customHeight="1">
      <c r="A19" s="11">
        <v>1</v>
      </c>
      <c r="B19" s="12" t="s">
        <v>24</v>
      </c>
      <c r="C19" s="14">
        <f>IFERROR('قائمة الدخل'!C13/'الميزانية العمومية'!C9,0)</f>
        <v>0</v>
      </c>
      <c r="D19" s="12" t="s">
        <v>25</v>
      </c>
      <c r="E19" s="13" t="str">
        <f>IF(C19&gt;=4,"✅ ممتاز",IF(C19&gt;=2,"⚠️ مقبول","🔴 بطيء"))</f>
        <v>🔴 بطيء</v>
      </c>
    </row>
    <row r="20" spans="1:5" ht="19.5" customHeight="1">
      <c r="A20" s="7">
        <v>2</v>
      </c>
      <c r="B20" s="8" t="s">
        <v>26</v>
      </c>
      <c r="C20" s="14">
        <f>IFERROR('قائمة الدخل'!C10/'الميزانية العمومية'!C25,0)</f>
        <v>0</v>
      </c>
      <c r="D20" s="8" t="s">
        <v>25</v>
      </c>
      <c r="E20" s="10" t="str">
        <f>IF(C20&gt;=0.8,"✅ ممتاز",IF(C20&gt;=0.5,"⚠️ مقبول","🔴 منخفض"))</f>
        <v>🔴 منخفض</v>
      </c>
    </row>
    <row r="22" spans="1:5" ht="21.75" customHeight="1">
      <c r="A22" s="121" t="s">
        <v>27</v>
      </c>
      <c r="B22" s="121"/>
      <c r="C22" s="121"/>
      <c r="D22" s="121"/>
      <c r="E22" s="121"/>
    </row>
    <row r="23" spans="1:5" ht="15" customHeight="1">
      <c r="A23" s="5" t="s">
        <v>3</v>
      </c>
      <c r="B23" s="5" t="s">
        <v>4</v>
      </c>
      <c r="C23" s="5" t="s">
        <v>5</v>
      </c>
      <c r="D23" s="5" t="s">
        <v>6</v>
      </c>
      <c r="E23" s="6" t="s">
        <v>7</v>
      </c>
    </row>
    <row r="24" spans="1:5" ht="19.5" customHeight="1">
      <c r="A24" s="7">
        <v>1</v>
      </c>
      <c r="B24" s="8" t="s">
        <v>28</v>
      </c>
      <c r="C24" s="14">
        <f>IFERROR(('الميزانية العمومية'!C38+'الميزانية العمومية'!C44)/'الميزانية العمومية'!C52,0)</f>
        <v>0</v>
      </c>
      <c r="D24" s="8" t="s">
        <v>29</v>
      </c>
      <c r="E24" s="10" t="str">
        <f>IF(C24&lt;=1,"✅ ممتاز",IF(C24&lt;=2,"⚠️ مقبول","🔴 مرتفع"))</f>
        <v>✅ ممتاز</v>
      </c>
    </row>
    <row r="25" spans="1:5" ht="19.5" customHeight="1">
      <c r="A25" s="11">
        <v>2</v>
      </c>
      <c r="B25" s="12" t="s">
        <v>30</v>
      </c>
      <c r="C25" s="14">
        <f>IFERROR('قائمة الدخل'!C45/MAX('قائمة الدخل'!C48,1),0)</f>
        <v>0</v>
      </c>
      <c r="D25" s="12" t="s">
        <v>31</v>
      </c>
      <c r="E25" s="13" t="str">
        <f>IF(C25&gt;=3,"✅ ممتاز",IF(C25&gt;=1.5,"⚠️ مقبول","🔴 ضعيف"))</f>
        <v>🔴 ضعيف</v>
      </c>
    </row>
    <row r="27" spans="1:5" ht="15" customHeight="1">
      <c r="A27" s="16" t="s">
        <v>32</v>
      </c>
    </row>
    <row r="28" spans="1:5" ht="15" customHeight="1">
      <c r="A28" s="17" t="s">
        <v>33</v>
      </c>
    </row>
    <row r="29" spans="1:5" ht="15" customHeight="1">
      <c r="B29" s="18" t="s">
        <v>34</v>
      </c>
      <c r="C29" s="19">
        <f>'قائمة الدخل'!C10</f>
        <v>0</v>
      </c>
    </row>
    <row r="30" spans="1:5" ht="15" customHeight="1">
      <c r="B30" s="18" t="s">
        <v>35</v>
      </c>
      <c r="C30" s="20">
        <f>'قائمة الدخل'!C15</f>
        <v>0</v>
      </c>
      <c r="D30" s="21">
        <f>IFERROR(C30/C29,0)</f>
        <v>0</v>
      </c>
    </row>
    <row r="31" spans="1:5" ht="15" customHeight="1">
      <c r="B31" s="18" t="s">
        <v>36</v>
      </c>
      <c r="C31" s="20">
        <f>'قائمة الدخل'!C45</f>
        <v>0</v>
      </c>
      <c r="D31" s="21">
        <f>IFERROR(C31/C29,0)</f>
        <v>0</v>
      </c>
    </row>
    <row r="32" spans="1:5" ht="15" customHeight="1">
      <c r="B32" s="18" t="s">
        <v>37</v>
      </c>
      <c r="C32" s="20">
        <f>'قائمة الدخل'!C54</f>
        <v>0</v>
      </c>
      <c r="D32" s="21">
        <f>IFERROR(C32/C29,0)</f>
        <v>0</v>
      </c>
    </row>
    <row r="33" spans="2:3" ht="15" customHeight="1">
      <c r="B33" s="18" t="s">
        <v>38</v>
      </c>
      <c r="C33" s="22">
        <f>'الميزانية العمومية'!C25</f>
        <v>0</v>
      </c>
    </row>
    <row r="34" spans="2:3" ht="15" customHeight="1">
      <c r="B34" s="18" t="s">
        <v>39</v>
      </c>
      <c r="C34" s="23">
        <f>'الميزانية العمومية'!C38+'الميزانية العمومية'!C44</f>
        <v>0</v>
      </c>
    </row>
    <row r="35" spans="2:3" ht="15" customHeight="1">
      <c r="B35" s="18" t="s">
        <v>40</v>
      </c>
      <c r="C35" s="20">
        <f>'الميزانية العمومية'!C52</f>
        <v>0</v>
      </c>
    </row>
  </sheetData>
  <mergeCells count="6">
    <mergeCell ref="A22:E22"/>
    <mergeCell ref="A1:E1"/>
    <mergeCell ref="A2:E2"/>
    <mergeCell ref="A4:E4"/>
    <mergeCell ref="A10:E10"/>
    <mergeCell ref="A17:E17"/>
  </mergeCell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ED7D31"/>
  </sheetPr>
  <dimension ref="A1:I798"/>
  <sheetViews>
    <sheetView rightToLeft="1" topLeftCell="A16" zoomScaleNormal="100" workbookViewId="0">
      <selection activeCell="C10" sqref="C10"/>
    </sheetView>
  </sheetViews>
  <sheetFormatPr defaultColWidth="8.7109375" defaultRowHeight="15"/>
  <cols>
    <col min="1" max="1" width="14" customWidth="1"/>
    <col min="2" max="2" width="16.28515625" customWidth="1"/>
    <col min="3" max="3" width="31" customWidth="1"/>
    <col min="4" max="4" width="22" customWidth="1"/>
    <col min="5" max="5" width="20" customWidth="1"/>
    <col min="6" max="6" width="22" customWidth="1"/>
    <col min="7" max="7" width="4" customWidth="1"/>
    <col min="8" max="8" width="22" customWidth="1"/>
    <col min="9" max="9" width="20" customWidth="1"/>
  </cols>
  <sheetData>
    <row r="1" spans="1:9" ht="16.5" customHeight="1">
      <c r="A1" s="145" t="s">
        <v>470</v>
      </c>
      <c r="B1" s="145"/>
      <c r="C1" s="145"/>
      <c r="D1" s="145"/>
      <c r="E1" s="145"/>
      <c r="F1" s="145"/>
      <c r="G1" s="145"/>
      <c r="H1" s="145"/>
      <c r="I1" s="145"/>
    </row>
    <row r="2" spans="1:9" ht="12" customHeight="1">
      <c r="A2" s="122" t="s">
        <v>471</v>
      </c>
      <c r="B2" s="122"/>
      <c r="C2" s="122"/>
      <c r="D2" s="122"/>
      <c r="E2" s="122"/>
      <c r="F2" s="122"/>
      <c r="G2" s="122"/>
      <c r="H2" s="122"/>
      <c r="I2" s="122"/>
    </row>
    <row r="3" spans="1:9" ht="15" customHeight="1">
      <c r="A3" s="72" t="s">
        <v>472</v>
      </c>
      <c r="B3" s="78">
        <v>0.15</v>
      </c>
      <c r="C3" s="67" t="s">
        <v>473</v>
      </c>
    </row>
    <row r="5" spans="1:9" ht="21.75" customHeight="1">
      <c r="A5" s="119" t="s">
        <v>474</v>
      </c>
      <c r="B5" s="119"/>
      <c r="C5" s="119"/>
      <c r="D5" s="119"/>
      <c r="E5" s="119"/>
      <c r="F5" s="119"/>
      <c r="G5" s="119"/>
      <c r="H5" s="119"/>
      <c r="I5" s="119"/>
    </row>
    <row r="6" spans="1:9" ht="15" customHeight="1">
      <c r="A6" s="24" t="s">
        <v>475</v>
      </c>
      <c r="B6" s="24" t="s">
        <v>476</v>
      </c>
      <c r="C6" s="24" t="s">
        <v>477</v>
      </c>
      <c r="D6" s="24" t="s">
        <v>478</v>
      </c>
      <c r="E6" s="24" t="s">
        <v>479</v>
      </c>
      <c r="F6" s="24" t="s">
        <v>480</v>
      </c>
      <c r="H6" s="24" t="s">
        <v>481</v>
      </c>
      <c r="I6" s="24" t="s">
        <v>94</v>
      </c>
    </row>
    <row r="7" spans="1:9" ht="18" customHeight="1">
      <c r="A7" s="79"/>
      <c r="B7" s="80"/>
      <c r="C7" s="81"/>
      <c r="D7" s="81"/>
      <c r="E7" s="31"/>
      <c r="F7" s="63">
        <f t="shared" ref="F7:F70" si="0">IFERROR(E7*$B$3,0)</f>
        <v>0</v>
      </c>
      <c r="G7" s="82"/>
      <c r="H7" s="53">
        <f t="shared" ref="H7:H70" si="1">IFERROR(E7+F7,0)</f>
        <v>0</v>
      </c>
      <c r="I7" s="81"/>
    </row>
    <row r="8" spans="1:9" ht="18" customHeight="1">
      <c r="A8" s="79"/>
      <c r="B8" s="80"/>
      <c r="C8" s="81"/>
      <c r="D8" s="81"/>
      <c r="E8" s="31"/>
      <c r="F8" s="63">
        <f t="shared" si="0"/>
        <v>0</v>
      </c>
      <c r="G8" s="82"/>
      <c r="H8" s="53">
        <f t="shared" si="1"/>
        <v>0</v>
      </c>
      <c r="I8" s="81"/>
    </row>
    <row r="9" spans="1:9" ht="18" customHeight="1">
      <c r="A9" s="79"/>
      <c r="B9" s="80"/>
      <c r="C9" s="81"/>
      <c r="D9" s="81"/>
      <c r="E9" s="31"/>
      <c r="F9" s="63">
        <f t="shared" si="0"/>
        <v>0</v>
      </c>
      <c r="G9" s="82"/>
      <c r="H9" s="53">
        <f t="shared" si="1"/>
        <v>0</v>
      </c>
      <c r="I9" s="81"/>
    </row>
    <row r="10" spans="1:9" ht="18" customHeight="1">
      <c r="A10" s="79"/>
      <c r="B10" s="80"/>
      <c r="C10" s="81"/>
      <c r="D10" s="81"/>
      <c r="E10" s="31"/>
      <c r="F10" s="63">
        <f t="shared" si="0"/>
        <v>0</v>
      </c>
      <c r="G10" s="82"/>
      <c r="H10" s="53">
        <f t="shared" si="1"/>
        <v>0</v>
      </c>
      <c r="I10" s="81"/>
    </row>
    <row r="11" spans="1:9" ht="18" customHeight="1">
      <c r="A11" s="79"/>
      <c r="B11" s="80"/>
      <c r="C11" s="81"/>
      <c r="D11" s="81"/>
      <c r="E11" s="31"/>
      <c r="F11" s="63">
        <f t="shared" si="0"/>
        <v>0</v>
      </c>
      <c r="G11" s="82"/>
      <c r="H11" s="53">
        <f t="shared" si="1"/>
        <v>0</v>
      </c>
      <c r="I11" s="81"/>
    </row>
    <row r="12" spans="1:9" ht="18" customHeight="1">
      <c r="A12" s="79"/>
      <c r="B12" s="80"/>
      <c r="C12" s="81"/>
      <c r="D12" s="81"/>
      <c r="E12" s="31"/>
      <c r="F12" s="63">
        <f t="shared" si="0"/>
        <v>0</v>
      </c>
      <c r="G12" s="82"/>
      <c r="H12" s="53">
        <f t="shared" si="1"/>
        <v>0</v>
      </c>
      <c r="I12" s="81"/>
    </row>
    <row r="13" spans="1:9" ht="18" customHeight="1">
      <c r="A13" s="79"/>
      <c r="B13" s="80"/>
      <c r="C13" s="81"/>
      <c r="D13" s="81"/>
      <c r="E13" s="31"/>
      <c r="F13" s="63">
        <f t="shared" si="0"/>
        <v>0</v>
      </c>
      <c r="G13" s="82"/>
      <c r="H13" s="53">
        <f t="shared" si="1"/>
        <v>0</v>
      </c>
      <c r="I13" s="81"/>
    </row>
    <row r="14" spans="1:9" ht="18" customHeight="1">
      <c r="A14" s="79"/>
      <c r="B14" s="80"/>
      <c r="C14" s="81"/>
      <c r="D14" s="81"/>
      <c r="E14" s="31"/>
      <c r="F14" s="63">
        <f t="shared" si="0"/>
        <v>0</v>
      </c>
      <c r="G14" s="82"/>
      <c r="H14" s="53">
        <f t="shared" si="1"/>
        <v>0</v>
      </c>
      <c r="I14" s="81"/>
    </row>
    <row r="15" spans="1:9" ht="18" customHeight="1">
      <c r="A15" s="79"/>
      <c r="B15" s="80"/>
      <c r="C15" s="81"/>
      <c r="D15" s="81"/>
      <c r="E15" s="31"/>
      <c r="F15" s="63">
        <f t="shared" si="0"/>
        <v>0</v>
      </c>
      <c r="G15" s="82"/>
      <c r="H15" s="53">
        <f t="shared" si="1"/>
        <v>0</v>
      </c>
      <c r="I15" s="81"/>
    </row>
    <row r="16" spans="1:9" ht="18" customHeight="1">
      <c r="A16" s="79"/>
      <c r="B16" s="80"/>
      <c r="C16" s="81"/>
      <c r="D16" s="81"/>
      <c r="E16" s="31"/>
      <c r="F16" s="63">
        <f t="shared" si="0"/>
        <v>0</v>
      </c>
      <c r="G16" s="82"/>
      <c r="H16" s="53">
        <f t="shared" si="1"/>
        <v>0</v>
      </c>
      <c r="I16" s="81"/>
    </row>
    <row r="17" spans="1:9" ht="18" customHeight="1">
      <c r="A17" s="79"/>
      <c r="B17" s="80"/>
      <c r="C17" s="81"/>
      <c r="D17" s="81"/>
      <c r="E17" s="31"/>
      <c r="F17" s="63">
        <f t="shared" si="0"/>
        <v>0</v>
      </c>
      <c r="G17" s="82"/>
      <c r="H17" s="53">
        <f t="shared" si="1"/>
        <v>0</v>
      </c>
      <c r="I17" s="81"/>
    </row>
    <row r="18" spans="1:9" ht="18" customHeight="1">
      <c r="A18" s="79"/>
      <c r="B18" s="80"/>
      <c r="C18" s="81"/>
      <c r="D18" s="81"/>
      <c r="E18" s="31"/>
      <c r="F18" s="63">
        <f t="shared" si="0"/>
        <v>0</v>
      </c>
      <c r="G18" s="82"/>
      <c r="H18" s="53">
        <f t="shared" si="1"/>
        <v>0</v>
      </c>
      <c r="I18" s="81"/>
    </row>
    <row r="19" spans="1:9" ht="18" customHeight="1">
      <c r="A19" s="79"/>
      <c r="B19" s="80"/>
      <c r="C19" s="81"/>
      <c r="D19" s="81"/>
      <c r="E19" s="31"/>
      <c r="F19" s="63">
        <f t="shared" si="0"/>
        <v>0</v>
      </c>
      <c r="G19" s="82"/>
      <c r="H19" s="53">
        <f t="shared" si="1"/>
        <v>0</v>
      </c>
      <c r="I19" s="81"/>
    </row>
    <row r="20" spans="1:9" ht="18" customHeight="1">
      <c r="A20" s="79"/>
      <c r="B20" s="80"/>
      <c r="C20" s="81"/>
      <c r="D20" s="81"/>
      <c r="E20" s="31"/>
      <c r="F20" s="63">
        <f t="shared" si="0"/>
        <v>0</v>
      </c>
      <c r="G20" s="82"/>
      <c r="H20" s="53">
        <f t="shared" si="1"/>
        <v>0</v>
      </c>
      <c r="I20" s="81"/>
    </row>
    <row r="21" spans="1:9" ht="18" customHeight="1">
      <c r="A21" s="79"/>
      <c r="B21" s="80"/>
      <c r="C21" s="81"/>
      <c r="D21" s="81"/>
      <c r="E21" s="31"/>
      <c r="F21" s="63">
        <f t="shared" si="0"/>
        <v>0</v>
      </c>
      <c r="G21" s="82"/>
      <c r="H21" s="53">
        <f t="shared" si="1"/>
        <v>0</v>
      </c>
      <c r="I21" s="81"/>
    </row>
    <row r="22" spans="1:9" ht="18" customHeight="1">
      <c r="A22" s="79"/>
      <c r="B22" s="80"/>
      <c r="C22" s="81"/>
      <c r="D22" s="81"/>
      <c r="E22" s="31"/>
      <c r="F22" s="63">
        <f t="shared" si="0"/>
        <v>0</v>
      </c>
      <c r="G22" s="82"/>
      <c r="H22" s="53">
        <f t="shared" si="1"/>
        <v>0</v>
      </c>
      <c r="I22" s="81"/>
    </row>
    <row r="23" spans="1:9" ht="18" customHeight="1">
      <c r="A23" s="79"/>
      <c r="B23" s="80"/>
      <c r="C23" s="81"/>
      <c r="D23" s="81"/>
      <c r="E23" s="31"/>
      <c r="F23" s="63">
        <f t="shared" si="0"/>
        <v>0</v>
      </c>
      <c r="G23" s="82"/>
      <c r="H23" s="53">
        <f t="shared" si="1"/>
        <v>0</v>
      </c>
      <c r="I23" s="81"/>
    </row>
    <row r="24" spans="1:9" ht="18" customHeight="1">
      <c r="A24" s="79"/>
      <c r="B24" s="80"/>
      <c r="C24" s="81"/>
      <c r="D24" s="81"/>
      <c r="E24" s="31"/>
      <c r="F24" s="63">
        <f t="shared" si="0"/>
        <v>0</v>
      </c>
      <c r="G24" s="82"/>
      <c r="H24" s="53">
        <f t="shared" si="1"/>
        <v>0</v>
      </c>
      <c r="I24" s="81"/>
    </row>
    <row r="25" spans="1:9" ht="18" customHeight="1">
      <c r="A25" s="79"/>
      <c r="B25" s="80"/>
      <c r="C25" s="81"/>
      <c r="D25" s="81"/>
      <c r="E25" s="31"/>
      <c r="F25" s="63">
        <f t="shared" si="0"/>
        <v>0</v>
      </c>
      <c r="G25" s="82"/>
      <c r="H25" s="53">
        <f t="shared" si="1"/>
        <v>0</v>
      </c>
      <c r="I25" s="81"/>
    </row>
    <row r="26" spans="1:9" ht="18" customHeight="1">
      <c r="A26" s="79"/>
      <c r="B26" s="80"/>
      <c r="C26" s="81"/>
      <c r="D26" s="81"/>
      <c r="E26" s="31"/>
      <c r="F26" s="63">
        <f t="shared" si="0"/>
        <v>0</v>
      </c>
      <c r="G26" s="82"/>
      <c r="H26" s="53">
        <f t="shared" si="1"/>
        <v>0</v>
      </c>
      <c r="I26" s="81"/>
    </row>
    <row r="27" spans="1:9" ht="18" customHeight="1">
      <c r="A27" s="79"/>
      <c r="B27" s="80"/>
      <c r="C27" s="81"/>
      <c r="D27" s="81"/>
      <c r="E27" s="31"/>
      <c r="F27" s="63">
        <f t="shared" si="0"/>
        <v>0</v>
      </c>
      <c r="G27" s="82"/>
      <c r="H27" s="53">
        <f t="shared" si="1"/>
        <v>0</v>
      </c>
      <c r="I27" s="81"/>
    </row>
    <row r="28" spans="1:9" ht="18" customHeight="1">
      <c r="A28" s="79"/>
      <c r="B28" s="80"/>
      <c r="C28" s="81"/>
      <c r="D28" s="81"/>
      <c r="E28" s="31"/>
      <c r="F28" s="63">
        <f t="shared" si="0"/>
        <v>0</v>
      </c>
      <c r="G28" s="82"/>
      <c r="H28" s="53">
        <f t="shared" si="1"/>
        <v>0</v>
      </c>
      <c r="I28" s="81"/>
    </row>
    <row r="29" spans="1:9" ht="18" customHeight="1">
      <c r="A29" s="79"/>
      <c r="B29" s="80"/>
      <c r="C29" s="81"/>
      <c r="D29" s="81"/>
      <c r="E29" s="31"/>
      <c r="F29" s="63">
        <f t="shared" si="0"/>
        <v>0</v>
      </c>
      <c r="G29" s="82"/>
      <c r="H29" s="53">
        <f t="shared" si="1"/>
        <v>0</v>
      </c>
      <c r="I29" s="81"/>
    </row>
    <row r="30" spans="1:9" ht="18" customHeight="1">
      <c r="A30" s="79"/>
      <c r="B30" s="80"/>
      <c r="C30" s="81"/>
      <c r="D30" s="81"/>
      <c r="E30" s="31"/>
      <c r="F30" s="63">
        <f t="shared" si="0"/>
        <v>0</v>
      </c>
      <c r="G30" s="82"/>
      <c r="H30" s="53">
        <f t="shared" si="1"/>
        <v>0</v>
      </c>
      <c r="I30" s="81"/>
    </row>
    <row r="31" spans="1:9" ht="18" customHeight="1">
      <c r="A31" s="79"/>
      <c r="B31" s="80"/>
      <c r="C31" s="81"/>
      <c r="D31" s="81"/>
      <c r="E31" s="31"/>
      <c r="F31" s="63">
        <f t="shared" si="0"/>
        <v>0</v>
      </c>
      <c r="G31" s="82"/>
      <c r="H31" s="53">
        <f t="shared" si="1"/>
        <v>0</v>
      </c>
      <c r="I31" s="81"/>
    </row>
    <row r="32" spans="1:9" ht="18" customHeight="1">
      <c r="A32" s="79"/>
      <c r="B32" s="80"/>
      <c r="C32" s="81"/>
      <c r="D32" s="81"/>
      <c r="E32" s="31"/>
      <c r="F32" s="63">
        <f t="shared" si="0"/>
        <v>0</v>
      </c>
      <c r="G32" s="82"/>
      <c r="H32" s="53">
        <f t="shared" si="1"/>
        <v>0</v>
      </c>
      <c r="I32" s="81"/>
    </row>
    <row r="33" spans="1:9" ht="18" customHeight="1">
      <c r="A33" s="79"/>
      <c r="B33" s="80"/>
      <c r="C33" s="81"/>
      <c r="D33" s="81"/>
      <c r="E33" s="31"/>
      <c r="F33" s="63">
        <f t="shared" si="0"/>
        <v>0</v>
      </c>
      <c r="G33" s="82"/>
      <c r="H33" s="53">
        <f t="shared" si="1"/>
        <v>0</v>
      </c>
      <c r="I33" s="81"/>
    </row>
    <row r="34" spans="1:9" ht="18" customHeight="1">
      <c r="A34" s="79"/>
      <c r="B34" s="80"/>
      <c r="C34" s="81"/>
      <c r="D34" s="81"/>
      <c r="E34" s="31"/>
      <c r="F34" s="63">
        <f t="shared" si="0"/>
        <v>0</v>
      </c>
      <c r="G34" s="82"/>
      <c r="H34" s="53">
        <f t="shared" si="1"/>
        <v>0</v>
      </c>
      <c r="I34" s="81"/>
    </row>
    <row r="35" spans="1:9" ht="18" customHeight="1">
      <c r="A35" s="79"/>
      <c r="B35" s="80"/>
      <c r="C35" s="81"/>
      <c r="D35" s="81"/>
      <c r="E35" s="31"/>
      <c r="F35" s="63">
        <f t="shared" si="0"/>
        <v>0</v>
      </c>
      <c r="G35" s="82"/>
      <c r="H35" s="53">
        <f t="shared" si="1"/>
        <v>0</v>
      </c>
      <c r="I35" s="81"/>
    </row>
    <row r="36" spans="1:9" ht="18" customHeight="1">
      <c r="A36" s="79"/>
      <c r="B36" s="80"/>
      <c r="C36" s="81"/>
      <c r="D36" s="81"/>
      <c r="E36" s="31"/>
      <c r="F36" s="63">
        <f t="shared" si="0"/>
        <v>0</v>
      </c>
      <c r="G36" s="82"/>
      <c r="H36" s="53">
        <f t="shared" si="1"/>
        <v>0</v>
      </c>
      <c r="I36" s="81"/>
    </row>
    <row r="37" spans="1:9" ht="18" customHeight="1">
      <c r="A37" s="79"/>
      <c r="B37" s="80"/>
      <c r="C37" s="81"/>
      <c r="D37" s="81"/>
      <c r="E37" s="31"/>
      <c r="F37" s="63">
        <f t="shared" si="0"/>
        <v>0</v>
      </c>
      <c r="G37" s="82"/>
      <c r="H37" s="53">
        <f t="shared" si="1"/>
        <v>0</v>
      </c>
      <c r="I37" s="81"/>
    </row>
    <row r="38" spans="1:9" ht="18" customHeight="1">
      <c r="A38" s="79"/>
      <c r="B38" s="80"/>
      <c r="C38" s="81"/>
      <c r="D38" s="81"/>
      <c r="E38" s="31"/>
      <c r="F38" s="63">
        <f t="shared" si="0"/>
        <v>0</v>
      </c>
      <c r="G38" s="82"/>
      <c r="H38" s="53">
        <f t="shared" si="1"/>
        <v>0</v>
      </c>
      <c r="I38" s="81"/>
    </row>
    <row r="39" spans="1:9" ht="18" customHeight="1">
      <c r="A39" s="79"/>
      <c r="B39" s="80"/>
      <c r="C39" s="81"/>
      <c r="D39" s="81"/>
      <c r="E39" s="31"/>
      <c r="F39" s="63">
        <f t="shared" si="0"/>
        <v>0</v>
      </c>
      <c r="G39" s="82"/>
      <c r="H39" s="53">
        <f t="shared" si="1"/>
        <v>0</v>
      </c>
      <c r="I39" s="81"/>
    </row>
    <row r="40" spans="1:9" ht="18" customHeight="1">
      <c r="A40" s="79"/>
      <c r="B40" s="80"/>
      <c r="C40" s="81"/>
      <c r="D40" s="81"/>
      <c r="E40" s="31"/>
      <c r="F40" s="63">
        <f t="shared" si="0"/>
        <v>0</v>
      </c>
      <c r="G40" s="82"/>
      <c r="H40" s="53">
        <f t="shared" si="1"/>
        <v>0</v>
      </c>
      <c r="I40" s="81"/>
    </row>
    <row r="41" spans="1:9" ht="18" customHeight="1">
      <c r="A41" s="79"/>
      <c r="B41" s="80"/>
      <c r="C41" s="81"/>
      <c r="D41" s="81"/>
      <c r="E41" s="31"/>
      <c r="F41" s="63">
        <f t="shared" si="0"/>
        <v>0</v>
      </c>
      <c r="G41" s="82"/>
      <c r="H41" s="53">
        <f t="shared" si="1"/>
        <v>0</v>
      </c>
      <c r="I41" s="81"/>
    </row>
    <row r="42" spans="1:9" ht="18" customHeight="1">
      <c r="A42" s="79"/>
      <c r="B42" s="80"/>
      <c r="C42" s="81"/>
      <c r="D42" s="81"/>
      <c r="E42" s="31"/>
      <c r="F42" s="63">
        <f t="shared" si="0"/>
        <v>0</v>
      </c>
      <c r="G42" s="82"/>
      <c r="H42" s="53">
        <f t="shared" si="1"/>
        <v>0</v>
      </c>
      <c r="I42" s="81"/>
    </row>
    <row r="43" spans="1:9" ht="18" customHeight="1">
      <c r="A43" s="79"/>
      <c r="B43" s="80"/>
      <c r="C43" s="81"/>
      <c r="D43" s="81"/>
      <c r="E43" s="31"/>
      <c r="F43" s="63">
        <f t="shared" si="0"/>
        <v>0</v>
      </c>
      <c r="G43" s="82"/>
      <c r="H43" s="53">
        <f t="shared" si="1"/>
        <v>0</v>
      </c>
      <c r="I43" s="81"/>
    </row>
    <row r="44" spans="1:9" ht="18" customHeight="1">
      <c r="A44" s="79"/>
      <c r="B44" s="80"/>
      <c r="C44" s="81"/>
      <c r="D44" s="81"/>
      <c r="E44" s="31"/>
      <c r="F44" s="63">
        <f t="shared" si="0"/>
        <v>0</v>
      </c>
      <c r="G44" s="82"/>
      <c r="H44" s="53">
        <f t="shared" si="1"/>
        <v>0</v>
      </c>
      <c r="I44" s="81"/>
    </row>
    <row r="45" spans="1:9" ht="18" customHeight="1">
      <c r="A45" s="79"/>
      <c r="B45" s="80"/>
      <c r="C45" s="81"/>
      <c r="D45" s="81"/>
      <c r="E45" s="31"/>
      <c r="F45" s="63">
        <f t="shared" si="0"/>
        <v>0</v>
      </c>
      <c r="G45" s="82"/>
      <c r="H45" s="53">
        <f t="shared" si="1"/>
        <v>0</v>
      </c>
      <c r="I45" s="81"/>
    </row>
    <row r="46" spans="1:9" ht="18" customHeight="1">
      <c r="A46" s="79"/>
      <c r="B46" s="80"/>
      <c r="C46" s="81"/>
      <c r="D46" s="81"/>
      <c r="E46" s="31"/>
      <c r="F46" s="63">
        <f t="shared" si="0"/>
        <v>0</v>
      </c>
      <c r="G46" s="82"/>
      <c r="H46" s="53">
        <f t="shared" si="1"/>
        <v>0</v>
      </c>
      <c r="I46" s="81"/>
    </row>
    <row r="47" spans="1:9" ht="18" customHeight="1">
      <c r="A47" s="79"/>
      <c r="B47" s="80"/>
      <c r="C47" s="81"/>
      <c r="D47" s="81"/>
      <c r="E47" s="31"/>
      <c r="F47" s="63">
        <f t="shared" si="0"/>
        <v>0</v>
      </c>
      <c r="G47" s="82"/>
      <c r="H47" s="53">
        <f t="shared" si="1"/>
        <v>0</v>
      </c>
      <c r="I47" s="81"/>
    </row>
    <row r="48" spans="1:9" ht="18" customHeight="1">
      <c r="A48" s="79"/>
      <c r="B48" s="80"/>
      <c r="C48" s="81"/>
      <c r="D48" s="81"/>
      <c r="E48" s="31"/>
      <c r="F48" s="63">
        <f t="shared" si="0"/>
        <v>0</v>
      </c>
      <c r="G48" s="82"/>
      <c r="H48" s="53">
        <f t="shared" si="1"/>
        <v>0</v>
      </c>
      <c r="I48" s="81"/>
    </row>
    <row r="49" spans="1:9" ht="18" customHeight="1">
      <c r="A49" s="79"/>
      <c r="B49" s="80"/>
      <c r="C49" s="81"/>
      <c r="D49" s="81"/>
      <c r="E49" s="31"/>
      <c r="F49" s="63">
        <f t="shared" si="0"/>
        <v>0</v>
      </c>
      <c r="G49" s="82"/>
      <c r="H49" s="53">
        <f t="shared" si="1"/>
        <v>0</v>
      </c>
      <c r="I49" s="81"/>
    </row>
    <row r="50" spans="1:9" ht="18" customHeight="1">
      <c r="A50" s="79"/>
      <c r="B50" s="80"/>
      <c r="C50" s="81"/>
      <c r="D50" s="81"/>
      <c r="E50" s="31"/>
      <c r="F50" s="63">
        <f t="shared" si="0"/>
        <v>0</v>
      </c>
      <c r="G50" s="82"/>
      <c r="H50" s="53">
        <f t="shared" si="1"/>
        <v>0</v>
      </c>
      <c r="I50" s="81"/>
    </row>
    <row r="51" spans="1:9" ht="18" customHeight="1">
      <c r="A51" s="79"/>
      <c r="B51" s="80"/>
      <c r="C51" s="81"/>
      <c r="D51" s="81"/>
      <c r="E51" s="31"/>
      <c r="F51" s="63">
        <f t="shared" si="0"/>
        <v>0</v>
      </c>
      <c r="G51" s="82"/>
      <c r="H51" s="53">
        <f t="shared" si="1"/>
        <v>0</v>
      </c>
      <c r="I51" s="81"/>
    </row>
    <row r="52" spans="1:9" ht="18" customHeight="1">
      <c r="A52" s="79"/>
      <c r="B52" s="80"/>
      <c r="C52" s="81"/>
      <c r="D52" s="81"/>
      <c r="E52" s="31"/>
      <c r="F52" s="63">
        <f t="shared" si="0"/>
        <v>0</v>
      </c>
      <c r="G52" s="82"/>
      <c r="H52" s="53">
        <f t="shared" si="1"/>
        <v>0</v>
      </c>
      <c r="I52" s="81"/>
    </row>
    <row r="53" spans="1:9" ht="18" customHeight="1">
      <c r="A53" s="79"/>
      <c r="B53" s="80"/>
      <c r="C53" s="81"/>
      <c r="D53" s="81"/>
      <c r="E53" s="31"/>
      <c r="F53" s="63">
        <f t="shared" si="0"/>
        <v>0</v>
      </c>
      <c r="G53" s="82"/>
      <c r="H53" s="53">
        <f t="shared" si="1"/>
        <v>0</v>
      </c>
      <c r="I53" s="81"/>
    </row>
    <row r="54" spans="1:9" ht="18" customHeight="1">
      <c r="A54" s="79"/>
      <c r="B54" s="80"/>
      <c r="C54" s="81"/>
      <c r="D54" s="81"/>
      <c r="E54" s="31"/>
      <c r="F54" s="63">
        <f t="shared" si="0"/>
        <v>0</v>
      </c>
      <c r="G54" s="82"/>
      <c r="H54" s="53">
        <f t="shared" si="1"/>
        <v>0</v>
      </c>
      <c r="I54" s="81"/>
    </row>
    <row r="55" spans="1:9" ht="18" customHeight="1">
      <c r="A55" s="79"/>
      <c r="B55" s="80"/>
      <c r="C55" s="81"/>
      <c r="D55" s="81"/>
      <c r="E55" s="31"/>
      <c r="F55" s="63">
        <f t="shared" si="0"/>
        <v>0</v>
      </c>
      <c r="G55" s="82"/>
      <c r="H55" s="53">
        <f t="shared" si="1"/>
        <v>0</v>
      </c>
      <c r="I55" s="81"/>
    </row>
    <row r="56" spans="1:9" ht="18" customHeight="1">
      <c r="A56" s="79"/>
      <c r="B56" s="80"/>
      <c r="C56" s="81"/>
      <c r="D56" s="81"/>
      <c r="E56" s="31"/>
      <c r="F56" s="63">
        <f t="shared" si="0"/>
        <v>0</v>
      </c>
      <c r="G56" s="82"/>
      <c r="H56" s="53">
        <f t="shared" si="1"/>
        <v>0</v>
      </c>
      <c r="I56" s="81"/>
    </row>
    <row r="57" spans="1:9" ht="18" customHeight="1">
      <c r="A57" s="79"/>
      <c r="B57" s="80"/>
      <c r="C57" s="81"/>
      <c r="D57" s="81"/>
      <c r="E57" s="31"/>
      <c r="F57" s="63">
        <f t="shared" si="0"/>
        <v>0</v>
      </c>
      <c r="G57" s="82"/>
      <c r="H57" s="53">
        <f t="shared" si="1"/>
        <v>0</v>
      </c>
      <c r="I57" s="81"/>
    </row>
    <row r="58" spans="1:9" ht="18" customHeight="1">
      <c r="A58" s="79"/>
      <c r="B58" s="80"/>
      <c r="C58" s="81"/>
      <c r="D58" s="81"/>
      <c r="E58" s="31"/>
      <c r="F58" s="63">
        <f t="shared" si="0"/>
        <v>0</v>
      </c>
      <c r="G58" s="82"/>
      <c r="H58" s="53">
        <f t="shared" si="1"/>
        <v>0</v>
      </c>
      <c r="I58" s="81"/>
    </row>
    <row r="59" spans="1:9" ht="18" customHeight="1">
      <c r="A59" s="79"/>
      <c r="B59" s="80"/>
      <c r="C59" s="81"/>
      <c r="D59" s="81"/>
      <c r="E59" s="31"/>
      <c r="F59" s="63">
        <f t="shared" si="0"/>
        <v>0</v>
      </c>
      <c r="G59" s="82"/>
      <c r="H59" s="53">
        <f t="shared" si="1"/>
        <v>0</v>
      </c>
      <c r="I59" s="81"/>
    </row>
    <row r="60" spans="1:9" ht="18" customHeight="1">
      <c r="A60" s="79"/>
      <c r="B60" s="80"/>
      <c r="C60" s="81"/>
      <c r="D60" s="81"/>
      <c r="E60" s="31"/>
      <c r="F60" s="63">
        <f t="shared" si="0"/>
        <v>0</v>
      </c>
      <c r="G60" s="82"/>
      <c r="H60" s="53">
        <f t="shared" si="1"/>
        <v>0</v>
      </c>
      <c r="I60" s="81"/>
    </row>
    <row r="61" spans="1:9" ht="18" customHeight="1">
      <c r="A61" s="79"/>
      <c r="B61" s="80"/>
      <c r="C61" s="81"/>
      <c r="D61" s="81"/>
      <c r="E61" s="31"/>
      <c r="F61" s="63">
        <f t="shared" si="0"/>
        <v>0</v>
      </c>
      <c r="G61" s="82"/>
      <c r="H61" s="53">
        <f t="shared" si="1"/>
        <v>0</v>
      </c>
      <c r="I61" s="81"/>
    </row>
    <row r="62" spans="1:9" ht="18" customHeight="1">
      <c r="A62" s="79"/>
      <c r="B62" s="80"/>
      <c r="C62" s="81"/>
      <c r="D62" s="81"/>
      <c r="E62" s="31"/>
      <c r="F62" s="63">
        <f t="shared" si="0"/>
        <v>0</v>
      </c>
      <c r="G62" s="82"/>
      <c r="H62" s="53">
        <f t="shared" si="1"/>
        <v>0</v>
      </c>
      <c r="I62" s="81"/>
    </row>
    <row r="63" spans="1:9" ht="18" customHeight="1">
      <c r="A63" s="79"/>
      <c r="B63" s="80"/>
      <c r="C63" s="81"/>
      <c r="D63" s="81"/>
      <c r="E63" s="31"/>
      <c r="F63" s="63">
        <f t="shared" si="0"/>
        <v>0</v>
      </c>
      <c r="G63" s="82"/>
      <c r="H63" s="53">
        <f t="shared" si="1"/>
        <v>0</v>
      </c>
      <c r="I63" s="81"/>
    </row>
    <row r="64" spans="1:9" ht="18" customHeight="1">
      <c r="A64" s="79"/>
      <c r="B64" s="80"/>
      <c r="C64" s="81"/>
      <c r="D64" s="81"/>
      <c r="E64" s="31"/>
      <c r="F64" s="63">
        <f t="shared" si="0"/>
        <v>0</v>
      </c>
      <c r="G64" s="82"/>
      <c r="H64" s="53">
        <f t="shared" si="1"/>
        <v>0</v>
      </c>
      <c r="I64" s="81"/>
    </row>
    <row r="65" spans="1:9" ht="18" customHeight="1">
      <c r="A65" s="79"/>
      <c r="B65" s="80"/>
      <c r="C65" s="81"/>
      <c r="D65" s="81"/>
      <c r="E65" s="31"/>
      <c r="F65" s="63">
        <f t="shared" si="0"/>
        <v>0</v>
      </c>
      <c r="G65" s="82"/>
      <c r="H65" s="53">
        <f t="shared" si="1"/>
        <v>0</v>
      </c>
      <c r="I65" s="81"/>
    </row>
    <row r="66" spans="1:9" ht="18" customHeight="1">
      <c r="A66" s="79"/>
      <c r="B66" s="80"/>
      <c r="C66" s="81"/>
      <c r="D66" s="81"/>
      <c r="E66" s="31"/>
      <c r="F66" s="63">
        <f t="shared" si="0"/>
        <v>0</v>
      </c>
      <c r="G66" s="82"/>
      <c r="H66" s="53">
        <f t="shared" si="1"/>
        <v>0</v>
      </c>
      <c r="I66" s="81"/>
    </row>
    <row r="67" spans="1:9" ht="18" customHeight="1">
      <c r="A67" s="79"/>
      <c r="B67" s="80"/>
      <c r="C67" s="81"/>
      <c r="D67" s="81"/>
      <c r="E67" s="31"/>
      <c r="F67" s="63">
        <f t="shared" si="0"/>
        <v>0</v>
      </c>
      <c r="G67" s="82"/>
      <c r="H67" s="53">
        <f t="shared" si="1"/>
        <v>0</v>
      </c>
      <c r="I67" s="81"/>
    </row>
    <row r="68" spans="1:9" ht="18" customHeight="1">
      <c r="A68" s="79"/>
      <c r="B68" s="80"/>
      <c r="C68" s="81"/>
      <c r="D68" s="81"/>
      <c r="E68" s="31"/>
      <c r="F68" s="63">
        <f t="shared" si="0"/>
        <v>0</v>
      </c>
      <c r="G68" s="82"/>
      <c r="H68" s="53">
        <f t="shared" si="1"/>
        <v>0</v>
      </c>
      <c r="I68" s="81"/>
    </row>
    <row r="69" spans="1:9" ht="18" customHeight="1">
      <c r="A69" s="79"/>
      <c r="B69" s="80"/>
      <c r="C69" s="81"/>
      <c r="D69" s="81"/>
      <c r="E69" s="31"/>
      <c r="F69" s="63">
        <f t="shared" si="0"/>
        <v>0</v>
      </c>
      <c r="G69" s="82"/>
      <c r="H69" s="53">
        <f t="shared" si="1"/>
        <v>0</v>
      </c>
      <c r="I69" s="81"/>
    </row>
    <row r="70" spans="1:9" ht="18" customHeight="1">
      <c r="A70" s="79"/>
      <c r="B70" s="80"/>
      <c r="C70" s="81"/>
      <c r="D70" s="81"/>
      <c r="E70" s="31"/>
      <c r="F70" s="63">
        <f t="shared" si="0"/>
        <v>0</v>
      </c>
      <c r="G70" s="82"/>
      <c r="H70" s="53">
        <f t="shared" si="1"/>
        <v>0</v>
      </c>
      <c r="I70" s="81"/>
    </row>
    <row r="71" spans="1:9" ht="18" customHeight="1">
      <c r="A71" s="79"/>
      <c r="B71" s="80"/>
      <c r="C71" s="81"/>
      <c r="D71" s="81"/>
      <c r="E71" s="31"/>
      <c r="F71" s="63">
        <f t="shared" ref="F71:F134" si="2">IFERROR(E71*$B$3,0)</f>
        <v>0</v>
      </c>
      <c r="G71" s="82"/>
      <c r="H71" s="53">
        <f t="shared" ref="H71:H134" si="3">IFERROR(E71+F71,0)</f>
        <v>0</v>
      </c>
      <c r="I71" s="81"/>
    </row>
    <row r="72" spans="1:9" ht="18" customHeight="1">
      <c r="A72" s="79"/>
      <c r="B72" s="80"/>
      <c r="C72" s="81"/>
      <c r="D72" s="81"/>
      <c r="E72" s="31"/>
      <c r="F72" s="63">
        <f t="shared" si="2"/>
        <v>0</v>
      </c>
      <c r="G72" s="82"/>
      <c r="H72" s="53">
        <f t="shared" si="3"/>
        <v>0</v>
      </c>
      <c r="I72" s="81"/>
    </row>
    <row r="73" spans="1:9" ht="18" customHeight="1">
      <c r="A73" s="79"/>
      <c r="B73" s="80"/>
      <c r="C73" s="81"/>
      <c r="D73" s="81"/>
      <c r="E73" s="31"/>
      <c r="F73" s="63">
        <f t="shared" si="2"/>
        <v>0</v>
      </c>
      <c r="G73" s="82"/>
      <c r="H73" s="53">
        <f t="shared" si="3"/>
        <v>0</v>
      </c>
      <c r="I73" s="81"/>
    </row>
    <row r="74" spans="1:9" ht="18" customHeight="1">
      <c r="A74" s="79"/>
      <c r="B74" s="80"/>
      <c r="C74" s="81"/>
      <c r="D74" s="81"/>
      <c r="E74" s="31"/>
      <c r="F74" s="63">
        <f t="shared" si="2"/>
        <v>0</v>
      </c>
      <c r="G74" s="82"/>
      <c r="H74" s="53">
        <f t="shared" si="3"/>
        <v>0</v>
      </c>
      <c r="I74" s="81"/>
    </row>
    <row r="75" spans="1:9" ht="18" customHeight="1">
      <c r="A75" s="79"/>
      <c r="B75" s="80"/>
      <c r="C75" s="81"/>
      <c r="D75" s="81"/>
      <c r="E75" s="31"/>
      <c r="F75" s="63">
        <f t="shared" si="2"/>
        <v>0</v>
      </c>
      <c r="G75" s="82"/>
      <c r="H75" s="53">
        <f t="shared" si="3"/>
        <v>0</v>
      </c>
      <c r="I75" s="81"/>
    </row>
    <row r="76" spans="1:9" ht="18" customHeight="1">
      <c r="A76" s="79"/>
      <c r="B76" s="80"/>
      <c r="C76" s="81"/>
      <c r="D76" s="81"/>
      <c r="E76" s="31"/>
      <c r="F76" s="63">
        <f t="shared" si="2"/>
        <v>0</v>
      </c>
      <c r="G76" s="82"/>
      <c r="H76" s="53">
        <f t="shared" si="3"/>
        <v>0</v>
      </c>
      <c r="I76" s="81"/>
    </row>
    <row r="77" spans="1:9" ht="18" customHeight="1">
      <c r="A77" s="79"/>
      <c r="B77" s="80"/>
      <c r="C77" s="81"/>
      <c r="D77" s="81"/>
      <c r="E77" s="31"/>
      <c r="F77" s="63">
        <f t="shared" si="2"/>
        <v>0</v>
      </c>
      <c r="G77" s="82"/>
      <c r="H77" s="53">
        <f t="shared" si="3"/>
        <v>0</v>
      </c>
      <c r="I77" s="81"/>
    </row>
    <row r="78" spans="1:9" ht="18" customHeight="1">
      <c r="A78" s="79"/>
      <c r="B78" s="80"/>
      <c r="C78" s="81"/>
      <c r="D78" s="81"/>
      <c r="E78" s="31"/>
      <c r="F78" s="63">
        <f t="shared" si="2"/>
        <v>0</v>
      </c>
      <c r="G78" s="82"/>
      <c r="H78" s="53">
        <f t="shared" si="3"/>
        <v>0</v>
      </c>
      <c r="I78" s="81"/>
    </row>
    <row r="79" spans="1:9" ht="18" customHeight="1">
      <c r="A79" s="79"/>
      <c r="B79" s="80"/>
      <c r="C79" s="81"/>
      <c r="D79" s="81"/>
      <c r="E79" s="31"/>
      <c r="F79" s="63">
        <f t="shared" si="2"/>
        <v>0</v>
      </c>
      <c r="G79" s="82"/>
      <c r="H79" s="53">
        <f t="shared" si="3"/>
        <v>0</v>
      </c>
      <c r="I79" s="81"/>
    </row>
    <row r="80" spans="1:9" ht="18" customHeight="1">
      <c r="A80" s="79"/>
      <c r="B80" s="80"/>
      <c r="C80" s="81"/>
      <c r="D80" s="81"/>
      <c r="E80" s="31"/>
      <c r="F80" s="63">
        <f t="shared" si="2"/>
        <v>0</v>
      </c>
      <c r="G80" s="82"/>
      <c r="H80" s="53">
        <f t="shared" si="3"/>
        <v>0</v>
      </c>
      <c r="I80" s="81"/>
    </row>
    <row r="81" spans="1:9" ht="18" customHeight="1">
      <c r="A81" s="79"/>
      <c r="B81" s="80"/>
      <c r="C81" s="81"/>
      <c r="D81" s="81"/>
      <c r="E81" s="31"/>
      <c r="F81" s="63">
        <f t="shared" si="2"/>
        <v>0</v>
      </c>
      <c r="G81" s="82"/>
      <c r="H81" s="53">
        <f t="shared" si="3"/>
        <v>0</v>
      </c>
      <c r="I81" s="81"/>
    </row>
    <row r="82" spans="1:9" ht="18" customHeight="1">
      <c r="A82" s="79"/>
      <c r="B82" s="80"/>
      <c r="C82" s="81"/>
      <c r="D82" s="81"/>
      <c r="E82" s="31"/>
      <c r="F82" s="63">
        <f t="shared" si="2"/>
        <v>0</v>
      </c>
      <c r="G82" s="82"/>
      <c r="H82" s="53">
        <f t="shared" si="3"/>
        <v>0</v>
      </c>
      <c r="I82" s="81"/>
    </row>
    <row r="83" spans="1:9" ht="18" customHeight="1">
      <c r="A83" s="79"/>
      <c r="B83" s="80"/>
      <c r="C83" s="81"/>
      <c r="D83" s="81"/>
      <c r="E83" s="31"/>
      <c r="F83" s="63">
        <f t="shared" si="2"/>
        <v>0</v>
      </c>
      <c r="G83" s="82"/>
      <c r="H83" s="53">
        <f t="shared" si="3"/>
        <v>0</v>
      </c>
      <c r="I83" s="81"/>
    </row>
    <row r="84" spans="1:9" ht="18" customHeight="1">
      <c r="A84" s="79"/>
      <c r="B84" s="80"/>
      <c r="C84" s="81"/>
      <c r="D84" s="81"/>
      <c r="E84" s="31"/>
      <c r="F84" s="63">
        <f t="shared" si="2"/>
        <v>0</v>
      </c>
      <c r="G84" s="82"/>
      <c r="H84" s="53">
        <f t="shared" si="3"/>
        <v>0</v>
      </c>
      <c r="I84" s="81"/>
    </row>
    <row r="85" spans="1:9" ht="18" customHeight="1">
      <c r="A85" s="79"/>
      <c r="B85" s="80"/>
      <c r="C85" s="81"/>
      <c r="D85" s="81"/>
      <c r="E85" s="31"/>
      <c r="F85" s="63">
        <f t="shared" si="2"/>
        <v>0</v>
      </c>
      <c r="G85" s="82"/>
      <c r="H85" s="53">
        <f t="shared" si="3"/>
        <v>0</v>
      </c>
      <c r="I85" s="81"/>
    </row>
    <row r="86" spans="1:9" ht="18" customHeight="1">
      <c r="A86" s="79"/>
      <c r="B86" s="80"/>
      <c r="C86" s="81"/>
      <c r="D86" s="81"/>
      <c r="E86" s="31"/>
      <c r="F86" s="63">
        <f t="shared" si="2"/>
        <v>0</v>
      </c>
      <c r="G86" s="82"/>
      <c r="H86" s="53">
        <f t="shared" si="3"/>
        <v>0</v>
      </c>
      <c r="I86" s="81"/>
    </row>
    <row r="87" spans="1:9" ht="18" customHeight="1">
      <c r="A87" s="79"/>
      <c r="B87" s="80"/>
      <c r="C87" s="81"/>
      <c r="D87" s="81"/>
      <c r="E87" s="31"/>
      <c r="F87" s="63">
        <f t="shared" si="2"/>
        <v>0</v>
      </c>
      <c r="G87" s="82"/>
      <c r="H87" s="53">
        <f t="shared" si="3"/>
        <v>0</v>
      </c>
      <c r="I87" s="81"/>
    </row>
    <row r="88" spans="1:9" ht="18" customHeight="1">
      <c r="A88" s="79"/>
      <c r="B88" s="80"/>
      <c r="C88" s="81"/>
      <c r="D88" s="81"/>
      <c r="E88" s="31"/>
      <c r="F88" s="63">
        <f t="shared" si="2"/>
        <v>0</v>
      </c>
      <c r="G88" s="82"/>
      <c r="H88" s="53">
        <f t="shared" si="3"/>
        <v>0</v>
      </c>
      <c r="I88" s="81"/>
    </row>
    <row r="89" spans="1:9" ht="18" customHeight="1">
      <c r="A89" s="79"/>
      <c r="B89" s="80"/>
      <c r="C89" s="81"/>
      <c r="D89" s="81"/>
      <c r="E89" s="31"/>
      <c r="F89" s="63">
        <f t="shared" si="2"/>
        <v>0</v>
      </c>
      <c r="G89" s="82"/>
      <c r="H89" s="53">
        <f t="shared" si="3"/>
        <v>0</v>
      </c>
      <c r="I89" s="81"/>
    </row>
    <row r="90" spans="1:9" ht="18" customHeight="1">
      <c r="A90" s="79"/>
      <c r="B90" s="80"/>
      <c r="C90" s="81"/>
      <c r="D90" s="81"/>
      <c r="E90" s="31"/>
      <c r="F90" s="63">
        <f t="shared" si="2"/>
        <v>0</v>
      </c>
      <c r="G90" s="82"/>
      <c r="H90" s="53">
        <f t="shared" si="3"/>
        <v>0</v>
      </c>
      <c r="I90" s="81"/>
    </row>
    <row r="91" spans="1:9" ht="18" customHeight="1">
      <c r="A91" s="79"/>
      <c r="B91" s="80"/>
      <c r="C91" s="81"/>
      <c r="D91" s="81"/>
      <c r="E91" s="31"/>
      <c r="F91" s="63">
        <f t="shared" si="2"/>
        <v>0</v>
      </c>
      <c r="G91" s="82"/>
      <c r="H91" s="53">
        <f t="shared" si="3"/>
        <v>0</v>
      </c>
      <c r="I91" s="81"/>
    </row>
    <row r="92" spans="1:9" ht="18" customHeight="1">
      <c r="A92" s="79"/>
      <c r="B92" s="80"/>
      <c r="C92" s="81"/>
      <c r="D92" s="81"/>
      <c r="E92" s="31"/>
      <c r="F92" s="63">
        <f t="shared" si="2"/>
        <v>0</v>
      </c>
      <c r="G92" s="82"/>
      <c r="H92" s="53">
        <f t="shared" si="3"/>
        <v>0</v>
      </c>
      <c r="I92" s="81"/>
    </row>
    <row r="93" spans="1:9" ht="18" customHeight="1">
      <c r="A93" s="79"/>
      <c r="B93" s="80"/>
      <c r="C93" s="81"/>
      <c r="D93" s="81"/>
      <c r="E93" s="31"/>
      <c r="F93" s="63">
        <f t="shared" si="2"/>
        <v>0</v>
      </c>
      <c r="G93" s="82"/>
      <c r="H93" s="53">
        <f t="shared" si="3"/>
        <v>0</v>
      </c>
      <c r="I93" s="81"/>
    </row>
    <row r="94" spans="1:9" ht="18" customHeight="1">
      <c r="A94" s="79"/>
      <c r="B94" s="80"/>
      <c r="C94" s="81"/>
      <c r="D94" s="81"/>
      <c r="E94" s="31"/>
      <c r="F94" s="63">
        <f t="shared" si="2"/>
        <v>0</v>
      </c>
      <c r="G94" s="82"/>
      <c r="H94" s="53">
        <f t="shared" si="3"/>
        <v>0</v>
      </c>
      <c r="I94" s="81"/>
    </row>
    <row r="95" spans="1:9" ht="18" customHeight="1">
      <c r="A95" s="79"/>
      <c r="B95" s="80"/>
      <c r="C95" s="81"/>
      <c r="D95" s="81"/>
      <c r="E95" s="31"/>
      <c r="F95" s="63">
        <f t="shared" si="2"/>
        <v>0</v>
      </c>
      <c r="G95" s="82"/>
      <c r="H95" s="53">
        <f t="shared" si="3"/>
        <v>0</v>
      </c>
      <c r="I95" s="81"/>
    </row>
    <row r="96" spans="1:9" ht="18" customHeight="1">
      <c r="A96" s="79"/>
      <c r="B96" s="80"/>
      <c r="C96" s="81"/>
      <c r="D96" s="81"/>
      <c r="E96" s="31"/>
      <c r="F96" s="63">
        <f t="shared" si="2"/>
        <v>0</v>
      </c>
      <c r="G96" s="82"/>
      <c r="H96" s="53">
        <f t="shared" si="3"/>
        <v>0</v>
      </c>
      <c r="I96" s="81"/>
    </row>
    <row r="97" spans="1:9" ht="18" customHeight="1">
      <c r="A97" s="79"/>
      <c r="B97" s="80"/>
      <c r="C97" s="81"/>
      <c r="D97" s="81"/>
      <c r="E97" s="31"/>
      <c r="F97" s="63">
        <f t="shared" si="2"/>
        <v>0</v>
      </c>
      <c r="G97" s="82"/>
      <c r="H97" s="53">
        <f t="shared" si="3"/>
        <v>0</v>
      </c>
      <c r="I97" s="81"/>
    </row>
    <row r="98" spans="1:9" ht="18" customHeight="1">
      <c r="A98" s="79"/>
      <c r="B98" s="80"/>
      <c r="C98" s="81"/>
      <c r="D98" s="81"/>
      <c r="E98" s="31"/>
      <c r="F98" s="63">
        <f t="shared" si="2"/>
        <v>0</v>
      </c>
      <c r="G98" s="82"/>
      <c r="H98" s="53">
        <f t="shared" si="3"/>
        <v>0</v>
      </c>
      <c r="I98" s="81"/>
    </row>
    <row r="99" spans="1:9" ht="18" customHeight="1">
      <c r="A99" s="79"/>
      <c r="B99" s="80"/>
      <c r="C99" s="81"/>
      <c r="D99" s="81"/>
      <c r="E99" s="31"/>
      <c r="F99" s="63">
        <f t="shared" si="2"/>
        <v>0</v>
      </c>
      <c r="G99" s="82"/>
      <c r="H99" s="53">
        <f t="shared" si="3"/>
        <v>0</v>
      </c>
      <c r="I99" s="81"/>
    </row>
    <row r="100" spans="1:9" ht="18" customHeight="1">
      <c r="A100" s="79"/>
      <c r="B100" s="80"/>
      <c r="C100" s="81"/>
      <c r="D100" s="81"/>
      <c r="E100" s="31"/>
      <c r="F100" s="63">
        <f t="shared" si="2"/>
        <v>0</v>
      </c>
      <c r="G100" s="82"/>
      <c r="H100" s="53">
        <f t="shared" si="3"/>
        <v>0</v>
      </c>
      <c r="I100" s="81"/>
    </row>
    <row r="101" spans="1:9" ht="18" customHeight="1">
      <c r="A101" s="79"/>
      <c r="B101" s="80"/>
      <c r="C101" s="81"/>
      <c r="D101" s="81"/>
      <c r="E101" s="31"/>
      <c r="F101" s="63">
        <f t="shared" si="2"/>
        <v>0</v>
      </c>
      <c r="G101" s="82"/>
      <c r="H101" s="53">
        <f t="shared" si="3"/>
        <v>0</v>
      </c>
      <c r="I101" s="81"/>
    </row>
    <row r="102" spans="1:9" ht="18" customHeight="1">
      <c r="A102" s="79"/>
      <c r="B102" s="80"/>
      <c r="C102" s="81"/>
      <c r="D102" s="81"/>
      <c r="E102" s="31"/>
      <c r="F102" s="63">
        <f t="shared" si="2"/>
        <v>0</v>
      </c>
      <c r="G102" s="82"/>
      <c r="H102" s="53">
        <f t="shared" si="3"/>
        <v>0</v>
      </c>
      <c r="I102" s="81"/>
    </row>
    <row r="103" spans="1:9" ht="18" customHeight="1">
      <c r="A103" s="79"/>
      <c r="B103" s="80"/>
      <c r="C103" s="81"/>
      <c r="D103" s="81"/>
      <c r="E103" s="31"/>
      <c r="F103" s="63">
        <f t="shared" si="2"/>
        <v>0</v>
      </c>
      <c r="G103" s="82"/>
      <c r="H103" s="53">
        <f t="shared" si="3"/>
        <v>0</v>
      </c>
      <c r="I103" s="81"/>
    </row>
    <row r="104" spans="1:9" ht="18" customHeight="1">
      <c r="A104" s="79"/>
      <c r="B104" s="80"/>
      <c r="C104" s="81"/>
      <c r="D104" s="81"/>
      <c r="E104" s="31"/>
      <c r="F104" s="63">
        <f t="shared" si="2"/>
        <v>0</v>
      </c>
      <c r="G104" s="82"/>
      <c r="H104" s="53">
        <f t="shared" si="3"/>
        <v>0</v>
      </c>
      <c r="I104" s="81"/>
    </row>
    <row r="105" spans="1:9" ht="18" customHeight="1">
      <c r="A105" s="79"/>
      <c r="B105" s="80"/>
      <c r="C105" s="81"/>
      <c r="D105" s="81"/>
      <c r="E105" s="31"/>
      <c r="F105" s="63">
        <f t="shared" si="2"/>
        <v>0</v>
      </c>
      <c r="G105" s="82"/>
      <c r="H105" s="53">
        <f t="shared" si="3"/>
        <v>0</v>
      </c>
      <c r="I105" s="81"/>
    </row>
    <row r="106" spans="1:9" ht="18" customHeight="1">
      <c r="A106" s="79"/>
      <c r="B106" s="80"/>
      <c r="C106" s="81"/>
      <c r="D106" s="81"/>
      <c r="E106" s="31"/>
      <c r="F106" s="63">
        <f t="shared" si="2"/>
        <v>0</v>
      </c>
      <c r="G106" s="82"/>
      <c r="H106" s="53">
        <f t="shared" si="3"/>
        <v>0</v>
      </c>
      <c r="I106" s="81"/>
    </row>
    <row r="107" spans="1:9" ht="18" customHeight="1">
      <c r="A107" s="79"/>
      <c r="B107" s="80"/>
      <c r="C107" s="81"/>
      <c r="D107" s="81"/>
      <c r="E107" s="31"/>
      <c r="F107" s="63">
        <f t="shared" si="2"/>
        <v>0</v>
      </c>
      <c r="G107" s="82"/>
      <c r="H107" s="53">
        <f t="shared" si="3"/>
        <v>0</v>
      </c>
      <c r="I107" s="81"/>
    </row>
    <row r="108" spans="1:9" ht="18" customHeight="1">
      <c r="A108" s="79"/>
      <c r="B108" s="80"/>
      <c r="C108" s="81"/>
      <c r="D108" s="81"/>
      <c r="E108" s="31"/>
      <c r="F108" s="63">
        <f t="shared" si="2"/>
        <v>0</v>
      </c>
      <c r="G108" s="82"/>
      <c r="H108" s="53">
        <f t="shared" si="3"/>
        <v>0</v>
      </c>
      <c r="I108" s="81"/>
    </row>
    <row r="109" spans="1:9" ht="18" customHeight="1">
      <c r="A109" s="79"/>
      <c r="B109" s="80"/>
      <c r="C109" s="81"/>
      <c r="D109" s="81"/>
      <c r="E109" s="31"/>
      <c r="F109" s="63">
        <f t="shared" si="2"/>
        <v>0</v>
      </c>
      <c r="G109" s="82"/>
      <c r="H109" s="53">
        <f t="shared" si="3"/>
        <v>0</v>
      </c>
      <c r="I109" s="81"/>
    </row>
    <row r="110" spans="1:9" ht="18" customHeight="1">
      <c r="A110" s="79"/>
      <c r="B110" s="80"/>
      <c r="C110" s="81"/>
      <c r="D110" s="81"/>
      <c r="E110" s="31"/>
      <c r="F110" s="63">
        <f t="shared" si="2"/>
        <v>0</v>
      </c>
      <c r="G110" s="82"/>
      <c r="H110" s="53">
        <f t="shared" si="3"/>
        <v>0</v>
      </c>
      <c r="I110" s="81"/>
    </row>
    <row r="111" spans="1:9" ht="18" customHeight="1">
      <c r="A111" s="79"/>
      <c r="B111" s="80"/>
      <c r="C111" s="81"/>
      <c r="D111" s="81"/>
      <c r="E111" s="31"/>
      <c r="F111" s="63">
        <f t="shared" si="2"/>
        <v>0</v>
      </c>
      <c r="G111" s="82"/>
      <c r="H111" s="53">
        <f t="shared" si="3"/>
        <v>0</v>
      </c>
      <c r="I111" s="81"/>
    </row>
    <row r="112" spans="1:9" ht="18" customHeight="1">
      <c r="A112" s="79"/>
      <c r="B112" s="80"/>
      <c r="C112" s="81"/>
      <c r="D112" s="81"/>
      <c r="E112" s="31"/>
      <c r="F112" s="63">
        <f t="shared" si="2"/>
        <v>0</v>
      </c>
      <c r="G112" s="82"/>
      <c r="H112" s="53">
        <f t="shared" si="3"/>
        <v>0</v>
      </c>
      <c r="I112" s="81"/>
    </row>
    <row r="113" spans="1:9" ht="18" customHeight="1">
      <c r="A113" s="79"/>
      <c r="B113" s="80"/>
      <c r="C113" s="81"/>
      <c r="D113" s="81"/>
      <c r="E113" s="31"/>
      <c r="F113" s="63">
        <f t="shared" si="2"/>
        <v>0</v>
      </c>
      <c r="G113" s="82"/>
      <c r="H113" s="53">
        <f t="shared" si="3"/>
        <v>0</v>
      </c>
      <c r="I113" s="81"/>
    </row>
    <row r="114" spans="1:9" ht="18" customHeight="1">
      <c r="A114" s="79"/>
      <c r="B114" s="80"/>
      <c r="C114" s="81"/>
      <c r="D114" s="81"/>
      <c r="E114" s="31"/>
      <c r="F114" s="63">
        <f t="shared" si="2"/>
        <v>0</v>
      </c>
      <c r="G114" s="82"/>
      <c r="H114" s="53">
        <f t="shared" si="3"/>
        <v>0</v>
      </c>
      <c r="I114" s="81"/>
    </row>
    <row r="115" spans="1:9" ht="18" customHeight="1">
      <c r="A115" s="79"/>
      <c r="B115" s="80"/>
      <c r="C115" s="81"/>
      <c r="D115" s="81"/>
      <c r="E115" s="31"/>
      <c r="F115" s="63">
        <f t="shared" si="2"/>
        <v>0</v>
      </c>
      <c r="G115" s="82"/>
      <c r="H115" s="53">
        <f t="shared" si="3"/>
        <v>0</v>
      </c>
      <c r="I115" s="81"/>
    </row>
    <row r="116" spans="1:9" ht="18" customHeight="1">
      <c r="A116" s="79"/>
      <c r="B116" s="80"/>
      <c r="C116" s="81"/>
      <c r="D116" s="81"/>
      <c r="E116" s="31"/>
      <c r="F116" s="63">
        <f t="shared" si="2"/>
        <v>0</v>
      </c>
      <c r="G116" s="82"/>
      <c r="H116" s="53">
        <f t="shared" si="3"/>
        <v>0</v>
      </c>
      <c r="I116" s="81"/>
    </row>
    <row r="117" spans="1:9" ht="18" customHeight="1">
      <c r="A117" s="79"/>
      <c r="B117" s="80"/>
      <c r="C117" s="81"/>
      <c r="D117" s="81"/>
      <c r="E117" s="31"/>
      <c r="F117" s="63">
        <f t="shared" si="2"/>
        <v>0</v>
      </c>
      <c r="G117" s="82"/>
      <c r="H117" s="53">
        <f t="shared" si="3"/>
        <v>0</v>
      </c>
      <c r="I117" s="81"/>
    </row>
    <row r="118" spans="1:9" ht="18" customHeight="1">
      <c r="A118" s="79"/>
      <c r="B118" s="80"/>
      <c r="C118" s="81"/>
      <c r="D118" s="81"/>
      <c r="E118" s="31"/>
      <c r="F118" s="63">
        <f t="shared" si="2"/>
        <v>0</v>
      </c>
      <c r="G118" s="82"/>
      <c r="H118" s="53">
        <f t="shared" si="3"/>
        <v>0</v>
      </c>
      <c r="I118" s="81"/>
    </row>
    <row r="119" spans="1:9" ht="18" customHeight="1">
      <c r="A119" s="79"/>
      <c r="B119" s="80"/>
      <c r="C119" s="81"/>
      <c r="D119" s="81"/>
      <c r="E119" s="31"/>
      <c r="F119" s="63">
        <f t="shared" si="2"/>
        <v>0</v>
      </c>
      <c r="G119" s="82"/>
      <c r="H119" s="53">
        <f t="shared" si="3"/>
        <v>0</v>
      </c>
      <c r="I119" s="81"/>
    </row>
    <row r="120" spans="1:9" ht="18" customHeight="1">
      <c r="A120" s="79"/>
      <c r="B120" s="80"/>
      <c r="C120" s="81"/>
      <c r="D120" s="81"/>
      <c r="E120" s="31"/>
      <c r="F120" s="63">
        <f t="shared" si="2"/>
        <v>0</v>
      </c>
      <c r="G120" s="82"/>
      <c r="H120" s="53">
        <f t="shared" si="3"/>
        <v>0</v>
      </c>
      <c r="I120" s="81"/>
    </row>
    <row r="121" spans="1:9" ht="18" customHeight="1">
      <c r="A121" s="79"/>
      <c r="B121" s="80"/>
      <c r="C121" s="81"/>
      <c r="D121" s="81"/>
      <c r="E121" s="31"/>
      <c r="F121" s="63">
        <f t="shared" si="2"/>
        <v>0</v>
      </c>
      <c r="G121" s="82"/>
      <c r="H121" s="53">
        <f t="shared" si="3"/>
        <v>0</v>
      </c>
      <c r="I121" s="81"/>
    </row>
    <row r="122" spans="1:9" ht="18" customHeight="1">
      <c r="A122" s="79"/>
      <c r="B122" s="80"/>
      <c r="C122" s="81"/>
      <c r="D122" s="81"/>
      <c r="E122" s="31"/>
      <c r="F122" s="63">
        <f t="shared" si="2"/>
        <v>0</v>
      </c>
      <c r="G122" s="82"/>
      <c r="H122" s="53">
        <f t="shared" si="3"/>
        <v>0</v>
      </c>
      <c r="I122" s="81"/>
    </row>
    <row r="123" spans="1:9" ht="18" customHeight="1">
      <c r="A123" s="79"/>
      <c r="B123" s="80"/>
      <c r="C123" s="81"/>
      <c r="D123" s="81"/>
      <c r="E123" s="31"/>
      <c r="F123" s="63">
        <f t="shared" si="2"/>
        <v>0</v>
      </c>
      <c r="G123" s="82"/>
      <c r="H123" s="53">
        <f t="shared" si="3"/>
        <v>0</v>
      </c>
      <c r="I123" s="81"/>
    </row>
    <row r="124" spans="1:9" ht="18" customHeight="1">
      <c r="A124" s="79"/>
      <c r="B124" s="80"/>
      <c r="C124" s="81"/>
      <c r="D124" s="81"/>
      <c r="E124" s="31"/>
      <c r="F124" s="63">
        <f t="shared" si="2"/>
        <v>0</v>
      </c>
      <c r="G124" s="82"/>
      <c r="H124" s="53">
        <f t="shared" si="3"/>
        <v>0</v>
      </c>
      <c r="I124" s="81"/>
    </row>
    <row r="125" spans="1:9" ht="18" customHeight="1">
      <c r="A125" s="79"/>
      <c r="B125" s="80"/>
      <c r="C125" s="81"/>
      <c r="D125" s="81"/>
      <c r="E125" s="31"/>
      <c r="F125" s="63">
        <f t="shared" si="2"/>
        <v>0</v>
      </c>
      <c r="G125" s="82"/>
      <c r="H125" s="53">
        <f t="shared" si="3"/>
        <v>0</v>
      </c>
      <c r="I125" s="81"/>
    </row>
    <row r="126" spans="1:9" ht="18" customHeight="1">
      <c r="A126" s="79"/>
      <c r="B126" s="80"/>
      <c r="C126" s="81"/>
      <c r="D126" s="81"/>
      <c r="E126" s="31"/>
      <c r="F126" s="63">
        <f t="shared" si="2"/>
        <v>0</v>
      </c>
      <c r="G126" s="82"/>
      <c r="H126" s="53">
        <f t="shared" si="3"/>
        <v>0</v>
      </c>
      <c r="I126" s="81"/>
    </row>
    <row r="127" spans="1:9" ht="18" customHeight="1">
      <c r="A127" s="79"/>
      <c r="B127" s="80"/>
      <c r="C127" s="81"/>
      <c r="D127" s="81"/>
      <c r="E127" s="31"/>
      <c r="F127" s="63">
        <f t="shared" si="2"/>
        <v>0</v>
      </c>
      <c r="G127" s="82"/>
      <c r="H127" s="53">
        <f t="shared" si="3"/>
        <v>0</v>
      </c>
      <c r="I127" s="81"/>
    </row>
    <row r="128" spans="1:9" ht="18" customHeight="1">
      <c r="A128" s="79"/>
      <c r="B128" s="80"/>
      <c r="C128" s="81"/>
      <c r="D128" s="81"/>
      <c r="E128" s="31"/>
      <c r="F128" s="63">
        <f t="shared" si="2"/>
        <v>0</v>
      </c>
      <c r="G128" s="82"/>
      <c r="H128" s="53">
        <f t="shared" si="3"/>
        <v>0</v>
      </c>
      <c r="I128" s="81"/>
    </row>
    <row r="129" spans="1:9" ht="18" customHeight="1">
      <c r="A129" s="79"/>
      <c r="B129" s="80"/>
      <c r="C129" s="81"/>
      <c r="D129" s="81"/>
      <c r="E129" s="31"/>
      <c r="F129" s="63">
        <f t="shared" si="2"/>
        <v>0</v>
      </c>
      <c r="G129" s="82"/>
      <c r="H129" s="53">
        <f t="shared" si="3"/>
        <v>0</v>
      </c>
      <c r="I129" s="81"/>
    </row>
    <row r="130" spans="1:9" ht="18" customHeight="1">
      <c r="A130" s="79"/>
      <c r="B130" s="80"/>
      <c r="C130" s="81"/>
      <c r="D130" s="81"/>
      <c r="E130" s="31"/>
      <c r="F130" s="63">
        <f t="shared" si="2"/>
        <v>0</v>
      </c>
      <c r="G130" s="82"/>
      <c r="H130" s="53">
        <f t="shared" si="3"/>
        <v>0</v>
      </c>
      <c r="I130" s="81"/>
    </row>
    <row r="131" spans="1:9" ht="18" customHeight="1">
      <c r="A131" s="79"/>
      <c r="B131" s="80"/>
      <c r="C131" s="81"/>
      <c r="D131" s="81"/>
      <c r="E131" s="31"/>
      <c r="F131" s="63">
        <f t="shared" si="2"/>
        <v>0</v>
      </c>
      <c r="G131" s="82"/>
      <c r="H131" s="53">
        <f t="shared" si="3"/>
        <v>0</v>
      </c>
      <c r="I131" s="81"/>
    </row>
    <row r="132" spans="1:9" ht="18" customHeight="1">
      <c r="A132" s="79"/>
      <c r="B132" s="80"/>
      <c r="C132" s="81"/>
      <c r="D132" s="81"/>
      <c r="E132" s="31"/>
      <c r="F132" s="63">
        <f t="shared" si="2"/>
        <v>0</v>
      </c>
      <c r="G132" s="82"/>
      <c r="H132" s="53">
        <f t="shared" si="3"/>
        <v>0</v>
      </c>
      <c r="I132" s="81"/>
    </row>
    <row r="133" spans="1:9" ht="18" customHeight="1">
      <c r="A133" s="79"/>
      <c r="B133" s="80"/>
      <c r="C133" s="81"/>
      <c r="D133" s="81"/>
      <c r="E133" s="31"/>
      <c r="F133" s="63">
        <f t="shared" si="2"/>
        <v>0</v>
      </c>
      <c r="G133" s="82"/>
      <c r="H133" s="53">
        <f t="shared" si="3"/>
        <v>0</v>
      </c>
      <c r="I133" s="81"/>
    </row>
    <row r="134" spans="1:9" ht="18" customHeight="1">
      <c r="A134" s="79"/>
      <c r="B134" s="80"/>
      <c r="C134" s="81"/>
      <c r="D134" s="81"/>
      <c r="E134" s="31"/>
      <c r="F134" s="63">
        <f t="shared" si="2"/>
        <v>0</v>
      </c>
      <c r="G134" s="82"/>
      <c r="H134" s="53">
        <f t="shared" si="3"/>
        <v>0</v>
      </c>
      <c r="I134" s="81"/>
    </row>
    <row r="135" spans="1:9" ht="18" customHeight="1">
      <c r="A135" s="79"/>
      <c r="B135" s="80"/>
      <c r="C135" s="81"/>
      <c r="D135" s="81"/>
      <c r="E135" s="31"/>
      <c r="F135" s="63">
        <f t="shared" ref="F135:F198" si="4">IFERROR(E135*$B$3,0)</f>
        <v>0</v>
      </c>
      <c r="G135" s="82"/>
      <c r="H135" s="53">
        <f t="shared" ref="H135:H198" si="5">IFERROR(E135+F135,0)</f>
        <v>0</v>
      </c>
      <c r="I135" s="81"/>
    </row>
    <row r="136" spans="1:9" ht="18" customHeight="1">
      <c r="A136" s="79"/>
      <c r="B136" s="80"/>
      <c r="C136" s="81"/>
      <c r="D136" s="81"/>
      <c r="E136" s="31"/>
      <c r="F136" s="63">
        <f t="shared" si="4"/>
        <v>0</v>
      </c>
      <c r="G136" s="82"/>
      <c r="H136" s="53">
        <f t="shared" si="5"/>
        <v>0</v>
      </c>
      <c r="I136" s="81"/>
    </row>
    <row r="137" spans="1:9" ht="18" customHeight="1">
      <c r="A137" s="79"/>
      <c r="B137" s="80"/>
      <c r="C137" s="81"/>
      <c r="D137" s="81"/>
      <c r="E137" s="31"/>
      <c r="F137" s="63">
        <f t="shared" si="4"/>
        <v>0</v>
      </c>
      <c r="G137" s="82"/>
      <c r="H137" s="53">
        <f t="shared" si="5"/>
        <v>0</v>
      </c>
      <c r="I137" s="81"/>
    </row>
    <row r="138" spans="1:9" ht="18" customHeight="1">
      <c r="A138" s="79"/>
      <c r="B138" s="80"/>
      <c r="C138" s="81"/>
      <c r="D138" s="81"/>
      <c r="E138" s="31"/>
      <c r="F138" s="63">
        <f t="shared" si="4"/>
        <v>0</v>
      </c>
      <c r="G138" s="82"/>
      <c r="H138" s="53">
        <f t="shared" si="5"/>
        <v>0</v>
      </c>
      <c r="I138" s="81"/>
    </row>
    <row r="139" spans="1:9" ht="18" customHeight="1">
      <c r="A139" s="79"/>
      <c r="B139" s="80"/>
      <c r="C139" s="81"/>
      <c r="D139" s="81"/>
      <c r="E139" s="31"/>
      <c r="F139" s="63">
        <f t="shared" si="4"/>
        <v>0</v>
      </c>
      <c r="G139" s="82"/>
      <c r="H139" s="53">
        <f t="shared" si="5"/>
        <v>0</v>
      </c>
      <c r="I139" s="81"/>
    </row>
    <row r="140" spans="1:9" ht="18" customHeight="1">
      <c r="A140" s="79"/>
      <c r="B140" s="80"/>
      <c r="C140" s="81"/>
      <c r="D140" s="81"/>
      <c r="E140" s="31"/>
      <c r="F140" s="63">
        <f t="shared" si="4"/>
        <v>0</v>
      </c>
      <c r="G140" s="82"/>
      <c r="H140" s="53">
        <f t="shared" si="5"/>
        <v>0</v>
      </c>
      <c r="I140" s="81"/>
    </row>
    <row r="141" spans="1:9" ht="18" customHeight="1">
      <c r="A141" s="79"/>
      <c r="B141" s="80"/>
      <c r="C141" s="81"/>
      <c r="D141" s="81"/>
      <c r="E141" s="31"/>
      <c r="F141" s="63">
        <f t="shared" si="4"/>
        <v>0</v>
      </c>
      <c r="G141" s="82"/>
      <c r="H141" s="53">
        <f t="shared" si="5"/>
        <v>0</v>
      </c>
      <c r="I141" s="81"/>
    </row>
    <row r="142" spans="1:9" ht="18" customHeight="1">
      <c r="A142" s="79"/>
      <c r="B142" s="80"/>
      <c r="C142" s="81"/>
      <c r="D142" s="81"/>
      <c r="E142" s="31"/>
      <c r="F142" s="63">
        <f t="shared" si="4"/>
        <v>0</v>
      </c>
      <c r="G142" s="82"/>
      <c r="H142" s="53">
        <f t="shared" si="5"/>
        <v>0</v>
      </c>
      <c r="I142" s="81"/>
    </row>
    <row r="143" spans="1:9" ht="18" customHeight="1">
      <c r="A143" s="79"/>
      <c r="B143" s="80"/>
      <c r="C143" s="81"/>
      <c r="D143" s="81"/>
      <c r="E143" s="31"/>
      <c r="F143" s="63">
        <f t="shared" si="4"/>
        <v>0</v>
      </c>
      <c r="G143" s="82"/>
      <c r="H143" s="53">
        <f t="shared" si="5"/>
        <v>0</v>
      </c>
      <c r="I143" s="81"/>
    </row>
    <row r="144" spans="1:9" ht="18" customHeight="1">
      <c r="A144" s="79"/>
      <c r="B144" s="80"/>
      <c r="C144" s="81"/>
      <c r="D144" s="81"/>
      <c r="E144" s="31"/>
      <c r="F144" s="63">
        <f t="shared" si="4"/>
        <v>0</v>
      </c>
      <c r="G144" s="82"/>
      <c r="H144" s="53">
        <f t="shared" si="5"/>
        <v>0</v>
      </c>
      <c r="I144" s="81"/>
    </row>
    <row r="145" spans="1:9" ht="18" customHeight="1">
      <c r="A145" s="79"/>
      <c r="B145" s="80"/>
      <c r="C145" s="81"/>
      <c r="D145" s="81"/>
      <c r="E145" s="31"/>
      <c r="F145" s="63">
        <f t="shared" si="4"/>
        <v>0</v>
      </c>
      <c r="G145" s="82"/>
      <c r="H145" s="53">
        <f t="shared" si="5"/>
        <v>0</v>
      </c>
      <c r="I145" s="81"/>
    </row>
    <row r="146" spans="1:9" ht="18" customHeight="1">
      <c r="A146" s="79"/>
      <c r="B146" s="80"/>
      <c r="C146" s="81"/>
      <c r="D146" s="81"/>
      <c r="E146" s="31"/>
      <c r="F146" s="63">
        <f t="shared" si="4"/>
        <v>0</v>
      </c>
      <c r="G146" s="82"/>
      <c r="H146" s="53">
        <f t="shared" si="5"/>
        <v>0</v>
      </c>
      <c r="I146" s="81"/>
    </row>
    <row r="147" spans="1:9" ht="18" customHeight="1">
      <c r="A147" s="79"/>
      <c r="B147" s="80"/>
      <c r="C147" s="81"/>
      <c r="D147" s="81"/>
      <c r="E147" s="31"/>
      <c r="F147" s="63">
        <f t="shared" si="4"/>
        <v>0</v>
      </c>
      <c r="G147" s="82"/>
      <c r="H147" s="53">
        <f t="shared" si="5"/>
        <v>0</v>
      </c>
      <c r="I147" s="81"/>
    </row>
    <row r="148" spans="1:9" ht="18" customHeight="1">
      <c r="A148" s="79"/>
      <c r="B148" s="80"/>
      <c r="C148" s="81"/>
      <c r="D148" s="81"/>
      <c r="E148" s="31"/>
      <c r="F148" s="63">
        <f t="shared" si="4"/>
        <v>0</v>
      </c>
      <c r="G148" s="82"/>
      <c r="H148" s="53">
        <f t="shared" si="5"/>
        <v>0</v>
      </c>
      <c r="I148" s="81"/>
    </row>
    <row r="149" spans="1:9" ht="18" customHeight="1">
      <c r="A149" s="79"/>
      <c r="B149" s="80"/>
      <c r="C149" s="81"/>
      <c r="D149" s="81"/>
      <c r="E149" s="31"/>
      <c r="F149" s="63">
        <f t="shared" si="4"/>
        <v>0</v>
      </c>
      <c r="G149" s="82"/>
      <c r="H149" s="53">
        <f t="shared" si="5"/>
        <v>0</v>
      </c>
      <c r="I149" s="81"/>
    </row>
    <row r="150" spans="1:9" ht="18" customHeight="1">
      <c r="A150" s="79"/>
      <c r="B150" s="80"/>
      <c r="C150" s="81"/>
      <c r="D150" s="81"/>
      <c r="E150" s="31"/>
      <c r="F150" s="63">
        <f t="shared" si="4"/>
        <v>0</v>
      </c>
      <c r="G150" s="82"/>
      <c r="H150" s="53">
        <f t="shared" si="5"/>
        <v>0</v>
      </c>
      <c r="I150" s="81"/>
    </row>
    <row r="151" spans="1:9" ht="18" customHeight="1">
      <c r="A151" s="79"/>
      <c r="B151" s="80"/>
      <c r="C151" s="81"/>
      <c r="D151" s="81"/>
      <c r="E151" s="31"/>
      <c r="F151" s="63">
        <f t="shared" si="4"/>
        <v>0</v>
      </c>
      <c r="G151" s="82"/>
      <c r="H151" s="53">
        <f t="shared" si="5"/>
        <v>0</v>
      </c>
      <c r="I151" s="81"/>
    </row>
    <row r="152" spans="1:9" ht="18" customHeight="1">
      <c r="A152" s="79"/>
      <c r="B152" s="80"/>
      <c r="C152" s="81"/>
      <c r="D152" s="81"/>
      <c r="E152" s="31"/>
      <c r="F152" s="63">
        <f t="shared" si="4"/>
        <v>0</v>
      </c>
      <c r="G152" s="82"/>
      <c r="H152" s="53">
        <f t="shared" si="5"/>
        <v>0</v>
      </c>
      <c r="I152" s="81"/>
    </row>
    <row r="153" spans="1:9" ht="18" customHeight="1">
      <c r="A153" s="79"/>
      <c r="B153" s="80"/>
      <c r="C153" s="81"/>
      <c r="D153" s="81"/>
      <c r="E153" s="31"/>
      <c r="F153" s="63">
        <f t="shared" si="4"/>
        <v>0</v>
      </c>
      <c r="G153" s="82"/>
      <c r="H153" s="53">
        <f t="shared" si="5"/>
        <v>0</v>
      </c>
      <c r="I153" s="81"/>
    </row>
    <row r="154" spans="1:9" ht="18" customHeight="1">
      <c r="A154" s="79"/>
      <c r="B154" s="80"/>
      <c r="C154" s="81"/>
      <c r="D154" s="81"/>
      <c r="E154" s="31"/>
      <c r="F154" s="63">
        <f t="shared" si="4"/>
        <v>0</v>
      </c>
      <c r="G154" s="82"/>
      <c r="H154" s="53">
        <f t="shared" si="5"/>
        <v>0</v>
      </c>
      <c r="I154" s="81"/>
    </row>
    <row r="155" spans="1:9" ht="18" customHeight="1">
      <c r="A155" s="79"/>
      <c r="B155" s="80"/>
      <c r="C155" s="81"/>
      <c r="D155" s="81"/>
      <c r="E155" s="31"/>
      <c r="F155" s="63">
        <f t="shared" si="4"/>
        <v>0</v>
      </c>
      <c r="G155" s="82"/>
      <c r="H155" s="53">
        <f t="shared" si="5"/>
        <v>0</v>
      </c>
      <c r="I155" s="81"/>
    </row>
    <row r="156" spans="1:9" ht="18" customHeight="1">
      <c r="A156" s="79"/>
      <c r="B156" s="80"/>
      <c r="C156" s="81"/>
      <c r="D156" s="81"/>
      <c r="E156" s="31"/>
      <c r="F156" s="63">
        <f t="shared" si="4"/>
        <v>0</v>
      </c>
      <c r="G156" s="82"/>
      <c r="H156" s="53">
        <f t="shared" si="5"/>
        <v>0</v>
      </c>
      <c r="I156" s="81"/>
    </row>
    <row r="157" spans="1:9" ht="18" customHeight="1">
      <c r="A157" s="79"/>
      <c r="B157" s="80"/>
      <c r="C157" s="81"/>
      <c r="D157" s="81"/>
      <c r="E157" s="31"/>
      <c r="F157" s="63">
        <f t="shared" si="4"/>
        <v>0</v>
      </c>
      <c r="G157" s="82"/>
      <c r="H157" s="53">
        <f t="shared" si="5"/>
        <v>0</v>
      </c>
      <c r="I157" s="81"/>
    </row>
    <row r="158" spans="1:9" ht="18" customHeight="1">
      <c r="A158" s="79"/>
      <c r="B158" s="80"/>
      <c r="C158" s="81"/>
      <c r="D158" s="81"/>
      <c r="E158" s="31"/>
      <c r="F158" s="63">
        <f t="shared" si="4"/>
        <v>0</v>
      </c>
      <c r="G158" s="82"/>
      <c r="H158" s="53">
        <f t="shared" si="5"/>
        <v>0</v>
      </c>
      <c r="I158" s="81"/>
    </row>
    <row r="159" spans="1:9" ht="18" customHeight="1">
      <c r="A159" s="79"/>
      <c r="B159" s="80"/>
      <c r="C159" s="81"/>
      <c r="D159" s="81"/>
      <c r="E159" s="31"/>
      <c r="F159" s="63">
        <f t="shared" si="4"/>
        <v>0</v>
      </c>
      <c r="G159" s="82"/>
      <c r="H159" s="53">
        <f t="shared" si="5"/>
        <v>0</v>
      </c>
      <c r="I159" s="81"/>
    </row>
    <row r="160" spans="1:9" ht="18" customHeight="1">
      <c r="A160" s="79"/>
      <c r="B160" s="80"/>
      <c r="C160" s="81"/>
      <c r="D160" s="81"/>
      <c r="E160" s="31"/>
      <c r="F160" s="63">
        <f t="shared" si="4"/>
        <v>0</v>
      </c>
      <c r="G160" s="82"/>
      <c r="H160" s="53">
        <f t="shared" si="5"/>
        <v>0</v>
      </c>
      <c r="I160" s="81"/>
    </row>
    <row r="161" spans="1:9" ht="18" customHeight="1">
      <c r="A161" s="79"/>
      <c r="B161" s="80"/>
      <c r="C161" s="81"/>
      <c r="D161" s="81"/>
      <c r="E161" s="31"/>
      <c r="F161" s="63">
        <f t="shared" si="4"/>
        <v>0</v>
      </c>
      <c r="G161" s="82"/>
      <c r="H161" s="53">
        <f t="shared" si="5"/>
        <v>0</v>
      </c>
      <c r="I161" s="81"/>
    </row>
    <row r="162" spans="1:9" ht="18" customHeight="1">
      <c r="A162" s="79"/>
      <c r="B162" s="80"/>
      <c r="C162" s="81"/>
      <c r="D162" s="81"/>
      <c r="E162" s="31"/>
      <c r="F162" s="63">
        <f t="shared" si="4"/>
        <v>0</v>
      </c>
      <c r="G162" s="82"/>
      <c r="H162" s="53">
        <f t="shared" si="5"/>
        <v>0</v>
      </c>
      <c r="I162" s="81"/>
    </row>
    <row r="163" spans="1:9" ht="18" customHeight="1">
      <c r="A163" s="79"/>
      <c r="B163" s="80"/>
      <c r="C163" s="81"/>
      <c r="D163" s="81"/>
      <c r="E163" s="31"/>
      <c r="F163" s="63">
        <f t="shared" si="4"/>
        <v>0</v>
      </c>
      <c r="G163" s="82"/>
      <c r="H163" s="53">
        <f t="shared" si="5"/>
        <v>0</v>
      </c>
      <c r="I163" s="81"/>
    </row>
    <row r="164" spans="1:9" ht="18" customHeight="1">
      <c r="A164" s="79"/>
      <c r="B164" s="80"/>
      <c r="C164" s="81"/>
      <c r="D164" s="81"/>
      <c r="E164" s="31"/>
      <c r="F164" s="63">
        <f t="shared" si="4"/>
        <v>0</v>
      </c>
      <c r="G164" s="82"/>
      <c r="H164" s="53">
        <f t="shared" si="5"/>
        <v>0</v>
      </c>
      <c r="I164" s="81"/>
    </row>
    <row r="165" spans="1:9" ht="18" customHeight="1">
      <c r="A165" s="79"/>
      <c r="B165" s="80"/>
      <c r="C165" s="81"/>
      <c r="D165" s="81"/>
      <c r="E165" s="31"/>
      <c r="F165" s="63">
        <f t="shared" si="4"/>
        <v>0</v>
      </c>
      <c r="G165" s="82"/>
      <c r="H165" s="53">
        <f t="shared" si="5"/>
        <v>0</v>
      </c>
      <c r="I165" s="81"/>
    </row>
    <row r="166" spans="1:9" ht="18" customHeight="1">
      <c r="A166" s="79"/>
      <c r="B166" s="80"/>
      <c r="C166" s="81"/>
      <c r="D166" s="81"/>
      <c r="E166" s="31"/>
      <c r="F166" s="63">
        <f t="shared" si="4"/>
        <v>0</v>
      </c>
      <c r="G166" s="82"/>
      <c r="H166" s="53">
        <f t="shared" si="5"/>
        <v>0</v>
      </c>
      <c r="I166" s="81"/>
    </row>
    <row r="167" spans="1:9" ht="18" customHeight="1">
      <c r="A167" s="79"/>
      <c r="B167" s="80"/>
      <c r="C167" s="81"/>
      <c r="D167" s="81"/>
      <c r="E167" s="31"/>
      <c r="F167" s="63">
        <f t="shared" si="4"/>
        <v>0</v>
      </c>
      <c r="G167" s="82"/>
      <c r="H167" s="53">
        <f t="shared" si="5"/>
        <v>0</v>
      </c>
      <c r="I167" s="81"/>
    </row>
    <row r="168" spans="1:9" ht="18" customHeight="1">
      <c r="A168" s="79"/>
      <c r="B168" s="80"/>
      <c r="C168" s="81"/>
      <c r="D168" s="81"/>
      <c r="E168" s="31"/>
      <c r="F168" s="63">
        <f t="shared" si="4"/>
        <v>0</v>
      </c>
      <c r="G168" s="82"/>
      <c r="H168" s="53">
        <f t="shared" si="5"/>
        <v>0</v>
      </c>
      <c r="I168" s="81"/>
    </row>
    <row r="169" spans="1:9" ht="18" customHeight="1">
      <c r="A169" s="79"/>
      <c r="B169" s="80"/>
      <c r="C169" s="81"/>
      <c r="D169" s="81"/>
      <c r="E169" s="31"/>
      <c r="F169" s="63">
        <f t="shared" si="4"/>
        <v>0</v>
      </c>
      <c r="G169" s="82"/>
      <c r="H169" s="53">
        <f t="shared" si="5"/>
        <v>0</v>
      </c>
      <c r="I169" s="81"/>
    </row>
    <row r="170" spans="1:9" ht="18" customHeight="1">
      <c r="A170" s="79"/>
      <c r="B170" s="80"/>
      <c r="C170" s="81"/>
      <c r="D170" s="81"/>
      <c r="E170" s="31"/>
      <c r="F170" s="63">
        <f t="shared" si="4"/>
        <v>0</v>
      </c>
      <c r="G170" s="82"/>
      <c r="H170" s="53">
        <f t="shared" si="5"/>
        <v>0</v>
      </c>
      <c r="I170" s="81"/>
    </row>
    <row r="171" spans="1:9" ht="18" customHeight="1">
      <c r="A171" s="79"/>
      <c r="B171" s="80"/>
      <c r="C171" s="81"/>
      <c r="D171" s="81"/>
      <c r="E171" s="31"/>
      <c r="F171" s="63">
        <f t="shared" si="4"/>
        <v>0</v>
      </c>
      <c r="G171" s="82"/>
      <c r="H171" s="53">
        <f t="shared" si="5"/>
        <v>0</v>
      </c>
      <c r="I171" s="81"/>
    </row>
    <row r="172" spans="1:9" ht="18" customHeight="1">
      <c r="A172" s="79"/>
      <c r="B172" s="80"/>
      <c r="C172" s="81"/>
      <c r="D172" s="81"/>
      <c r="E172" s="31"/>
      <c r="F172" s="63">
        <f t="shared" si="4"/>
        <v>0</v>
      </c>
      <c r="G172" s="82"/>
      <c r="H172" s="53">
        <f t="shared" si="5"/>
        <v>0</v>
      </c>
      <c r="I172" s="81"/>
    </row>
    <row r="173" spans="1:9" ht="18" customHeight="1">
      <c r="A173" s="79"/>
      <c r="B173" s="80"/>
      <c r="C173" s="81"/>
      <c r="D173" s="81"/>
      <c r="E173" s="31"/>
      <c r="F173" s="63">
        <f t="shared" si="4"/>
        <v>0</v>
      </c>
      <c r="G173" s="82"/>
      <c r="H173" s="53">
        <f t="shared" si="5"/>
        <v>0</v>
      </c>
      <c r="I173" s="81"/>
    </row>
    <row r="174" spans="1:9" ht="18" customHeight="1">
      <c r="A174" s="79"/>
      <c r="B174" s="80"/>
      <c r="C174" s="81"/>
      <c r="D174" s="81"/>
      <c r="E174" s="31"/>
      <c r="F174" s="63">
        <f t="shared" si="4"/>
        <v>0</v>
      </c>
      <c r="G174" s="82"/>
      <c r="H174" s="53">
        <f t="shared" si="5"/>
        <v>0</v>
      </c>
      <c r="I174" s="81"/>
    </row>
    <row r="175" spans="1:9" ht="18" customHeight="1">
      <c r="A175" s="79"/>
      <c r="B175" s="80"/>
      <c r="C175" s="81"/>
      <c r="D175" s="81"/>
      <c r="E175" s="31"/>
      <c r="F175" s="63">
        <f t="shared" si="4"/>
        <v>0</v>
      </c>
      <c r="G175" s="82"/>
      <c r="H175" s="53">
        <f t="shared" si="5"/>
        <v>0</v>
      </c>
      <c r="I175" s="81"/>
    </row>
    <row r="176" spans="1:9" ht="18" customHeight="1">
      <c r="A176" s="79"/>
      <c r="B176" s="80"/>
      <c r="C176" s="81"/>
      <c r="D176" s="81"/>
      <c r="E176" s="31"/>
      <c r="F176" s="63">
        <f t="shared" si="4"/>
        <v>0</v>
      </c>
      <c r="G176" s="82"/>
      <c r="H176" s="53">
        <f t="shared" si="5"/>
        <v>0</v>
      </c>
      <c r="I176" s="81"/>
    </row>
    <row r="177" spans="1:9" ht="18" customHeight="1">
      <c r="A177" s="79"/>
      <c r="B177" s="80"/>
      <c r="C177" s="81"/>
      <c r="D177" s="81"/>
      <c r="E177" s="31"/>
      <c r="F177" s="63">
        <f t="shared" si="4"/>
        <v>0</v>
      </c>
      <c r="G177" s="82"/>
      <c r="H177" s="53">
        <f t="shared" si="5"/>
        <v>0</v>
      </c>
      <c r="I177" s="81"/>
    </row>
    <row r="178" spans="1:9" ht="18" customHeight="1">
      <c r="A178" s="79"/>
      <c r="B178" s="80"/>
      <c r="C178" s="81"/>
      <c r="D178" s="81"/>
      <c r="E178" s="31"/>
      <c r="F178" s="63">
        <f t="shared" si="4"/>
        <v>0</v>
      </c>
      <c r="G178" s="82"/>
      <c r="H178" s="53">
        <f t="shared" si="5"/>
        <v>0</v>
      </c>
      <c r="I178" s="81"/>
    </row>
    <row r="179" spans="1:9" ht="18" customHeight="1">
      <c r="A179" s="79"/>
      <c r="B179" s="80"/>
      <c r="C179" s="81"/>
      <c r="D179" s="81"/>
      <c r="E179" s="31"/>
      <c r="F179" s="63">
        <f t="shared" si="4"/>
        <v>0</v>
      </c>
      <c r="G179" s="82"/>
      <c r="H179" s="53">
        <f t="shared" si="5"/>
        <v>0</v>
      </c>
      <c r="I179" s="81"/>
    </row>
    <row r="180" spans="1:9" ht="18" customHeight="1">
      <c r="A180" s="79"/>
      <c r="B180" s="80"/>
      <c r="C180" s="81"/>
      <c r="D180" s="81"/>
      <c r="E180" s="31"/>
      <c r="F180" s="63">
        <f t="shared" si="4"/>
        <v>0</v>
      </c>
      <c r="G180" s="82"/>
      <c r="H180" s="53">
        <f t="shared" si="5"/>
        <v>0</v>
      </c>
      <c r="I180" s="81"/>
    </row>
    <row r="181" spans="1:9" ht="18" customHeight="1">
      <c r="A181" s="79"/>
      <c r="B181" s="80"/>
      <c r="C181" s="81"/>
      <c r="D181" s="81"/>
      <c r="E181" s="31"/>
      <c r="F181" s="63">
        <f t="shared" si="4"/>
        <v>0</v>
      </c>
      <c r="G181" s="82"/>
      <c r="H181" s="53">
        <f t="shared" si="5"/>
        <v>0</v>
      </c>
      <c r="I181" s="81"/>
    </row>
    <row r="182" spans="1:9" ht="18" customHeight="1">
      <c r="A182" s="79"/>
      <c r="B182" s="80"/>
      <c r="C182" s="81"/>
      <c r="D182" s="81"/>
      <c r="E182" s="31"/>
      <c r="F182" s="63">
        <f t="shared" si="4"/>
        <v>0</v>
      </c>
      <c r="G182" s="82"/>
      <c r="H182" s="53">
        <f t="shared" si="5"/>
        <v>0</v>
      </c>
      <c r="I182" s="81"/>
    </row>
    <row r="183" spans="1:9" ht="18" customHeight="1">
      <c r="A183" s="79"/>
      <c r="B183" s="80"/>
      <c r="C183" s="81"/>
      <c r="D183" s="81"/>
      <c r="E183" s="31"/>
      <c r="F183" s="63">
        <f t="shared" si="4"/>
        <v>0</v>
      </c>
      <c r="G183" s="82"/>
      <c r="H183" s="53">
        <f t="shared" si="5"/>
        <v>0</v>
      </c>
      <c r="I183" s="81"/>
    </row>
    <row r="184" spans="1:9" ht="18" customHeight="1">
      <c r="A184" s="79"/>
      <c r="B184" s="80"/>
      <c r="C184" s="81"/>
      <c r="D184" s="81"/>
      <c r="E184" s="31"/>
      <c r="F184" s="63">
        <f t="shared" si="4"/>
        <v>0</v>
      </c>
      <c r="G184" s="82"/>
      <c r="H184" s="53">
        <f t="shared" si="5"/>
        <v>0</v>
      </c>
      <c r="I184" s="81"/>
    </row>
    <row r="185" spans="1:9" ht="18" customHeight="1">
      <c r="A185" s="79"/>
      <c r="B185" s="80"/>
      <c r="C185" s="81"/>
      <c r="D185" s="81"/>
      <c r="E185" s="31"/>
      <c r="F185" s="63">
        <f t="shared" si="4"/>
        <v>0</v>
      </c>
      <c r="G185" s="82"/>
      <c r="H185" s="53">
        <f t="shared" si="5"/>
        <v>0</v>
      </c>
      <c r="I185" s="81"/>
    </row>
    <row r="186" spans="1:9" ht="18" customHeight="1">
      <c r="A186" s="79"/>
      <c r="B186" s="80"/>
      <c r="C186" s="81"/>
      <c r="D186" s="81"/>
      <c r="E186" s="31"/>
      <c r="F186" s="63">
        <f t="shared" si="4"/>
        <v>0</v>
      </c>
      <c r="G186" s="82"/>
      <c r="H186" s="53">
        <f t="shared" si="5"/>
        <v>0</v>
      </c>
      <c r="I186" s="81"/>
    </row>
    <row r="187" spans="1:9" ht="18" customHeight="1">
      <c r="A187" s="79"/>
      <c r="B187" s="80"/>
      <c r="C187" s="81"/>
      <c r="D187" s="81"/>
      <c r="E187" s="31"/>
      <c r="F187" s="63">
        <f t="shared" si="4"/>
        <v>0</v>
      </c>
      <c r="G187" s="82"/>
      <c r="H187" s="53">
        <f t="shared" si="5"/>
        <v>0</v>
      </c>
      <c r="I187" s="81"/>
    </row>
    <row r="188" spans="1:9" ht="18" customHeight="1">
      <c r="A188" s="79"/>
      <c r="B188" s="80"/>
      <c r="C188" s="81"/>
      <c r="D188" s="81"/>
      <c r="E188" s="31"/>
      <c r="F188" s="63">
        <f t="shared" si="4"/>
        <v>0</v>
      </c>
      <c r="G188" s="82"/>
      <c r="H188" s="53">
        <f t="shared" si="5"/>
        <v>0</v>
      </c>
      <c r="I188" s="81"/>
    </row>
    <row r="189" spans="1:9" ht="18" customHeight="1">
      <c r="A189" s="79"/>
      <c r="B189" s="80"/>
      <c r="C189" s="81"/>
      <c r="D189" s="81"/>
      <c r="E189" s="31"/>
      <c r="F189" s="63">
        <f t="shared" si="4"/>
        <v>0</v>
      </c>
      <c r="G189" s="82"/>
      <c r="H189" s="53">
        <f t="shared" si="5"/>
        <v>0</v>
      </c>
      <c r="I189" s="81"/>
    </row>
    <row r="190" spans="1:9" ht="18" customHeight="1">
      <c r="A190" s="79"/>
      <c r="B190" s="80"/>
      <c r="C190" s="81"/>
      <c r="D190" s="81"/>
      <c r="E190" s="31"/>
      <c r="F190" s="63">
        <f t="shared" si="4"/>
        <v>0</v>
      </c>
      <c r="G190" s="82"/>
      <c r="H190" s="53">
        <f t="shared" si="5"/>
        <v>0</v>
      </c>
      <c r="I190" s="81"/>
    </row>
    <row r="191" spans="1:9" ht="18" customHeight="1">
      <c r="A191" s="79"/>
      <c r="B191" s="80"/>
      <c r="C191" s="81"/>
      <c r="D191" s="81"/>
      <c r="E191" s="31"/>
      <c r="F191" s="63">
        <f t="shared" si="4"/>
        <v>0</v>
      </c>
      <c r="G191" s="82"/>
      <c r="H191" s="53">
        <f t="shared" si="5"/>
        <v>0</v>
      </c>
      <c r="I191" s="81"/>
    </row>
    <row r="192" spans="1:9" ht="18" customHeight="1">
      <c r="A192" s="79"/>
      <c r="B192" s="80"/>
      <c r="C192" s="81"/>
      <c r="D192" s="81"/>
      <c r="E192" s="31"/>
      <c r="F192" s="63">
        <f t="shared" si="4"/>
        <v>0</v>
      </c>
      <c r="G192" s="82"/>
      <c r="H192" s="53">
        <f t="shared" si="5"/>
        <v>0</v>
      </c>
      <c r="I192" s="81"/>
    </row>
    <row r="193" spans="1:9" ht="18" customHeight="1">
      <c r="A193" s="79"/>
      <c r="B193" s="80"/>
      <c r="C193" s="81"/>
      <c r="D193" s="81"/>
      <c r="E193" s="31"/>
      <c r="F193" s="63">
        <f t="shared" si="4"/>
        <v>0</v>
      </c>
      <c r="G193" s="82"/>
      <c r="H193" s="53">
        <f t="shared" si="5"/>
        <v>0</v>
      </c>
      <c r="I193" s="81"/>
    </row>
    <row r="194" spans="1:9" ht="18" customHeight="1">
      <c r="A194" s="79"/>
      <c r="B194" s="80"/>
      <c r="C194" s="81"/>
      <c r="D194" s="81"/>
      <c r="E194" s="31"/>
      <c r="F194" s="63">
        <f t="shared" si="4"/>
        <v>0</v>
      </c>
      <c r="G194" s="82"/>
      <c r="H194" s="53">
        <f t="shared" si="5"/>
        <v>0</v>
      </c>
      <c r="I194" s="81"/>
    </row>
    <row r="195" spans="1:9" ht="18" customHeight="1">
      <c r="A195" s="79"/>
      <c r="B195" s="80"/>
      <c r="C195" s="81"/>
      <c r="D195" s="81"/>
      <c r="E195" s="31"/>
      <c r="F195" s="63">
        <f t="shared" si="4"/>
        <v>0</v>
      </c>
      <c r="G195" s="82"/>
      <c r="H195" s="53">
        <f t="shared" si="5"/>
        <v>0</v>
      </c>
      <c r="I195" s="81"/>
    </row>
    <row r="196" spans="1:9" ht="18" customHeight="1">
      <c r="A196" s="79"/>
      <c r="B196" s="80"/>
      <c r="C196" s="81"/>
      <c r="D196" s="81"/>
      <c r="E196" s="31"/>
      <c r="F196" s="63">
        <f t="shared" si="4"/>
        <v>0</v>
      </c>
      <c r="G196" s="82"/>
      <c r="H196" s="53">
        <f t="shared" si="5"/>
        <v>0</v>
      </c>
      <c r="I196" s="81"/>
    </row>
    <row r="197" spans="1:9" ht="18" customHeight="1">
      <c r="A197" s="79"/>
      <c r="B197" s="80"/>
      <c r="C197" s="81"/>
      <c r="D197" s="81"/>
      <c r="E197" s="31"/>
      <c r="F197" s="63">
        <f t="shared" si="4"/>
        <v>0</v>
      </c>
      <c r="G197" s="82"/>
      <c r="H197" s="53">
        <f t="shared" si="5"/>
        <v>0</v>
      </c>
      <c r="I197" s="81"/>
    </row>
    <row r="198" spans="1:9" ht="18" customHeight="1">
      <c r="A198" s="79"/>
      <c r="B198" s="80"/>
      <c r="C198" s="81"/>
      <c r="D198" s="81"/>
      <c r="E198" s="31"/>
      <c r="F198" s="63">
        <f t="shared" si="4"/>
        <v>0</v>
      </c>
      <c r="G198" s="82"/>
      <c r="H198" s="53">
        <f t="shared" si="5"/>
        <v>0</v>
      </c>
      <c r="I198" s="81"/>
    </row>
    <row r="199" spans="1:9" ht="18" customHeight="1">
      <c r="A199" s="79"/>
      <c r="B199" s="80"/>
      <c r="C199" s="81"/>
      <c r="D199" s="81"/>
      <c r="E199" s="31"/>
      <c r="F199" s="63">
        <f t="shared" ref="F199:F262" si="6">IFERROR(E199*$B$3,0)</f>
        <v>0</v>
      </c>
      <c r="G199" s="82"/>
      <c r="H199" s="53">
        <f t="shared" ref="H199:H262" si="7">IFERROR(E199+F199,0)</f>
        <v>0</v>
      </c>
      <c r="I199" s="81"/>
    </row>
    <row r="200" spans="1:9" ht="18" customHeight="1">
      <c r="A200" s="79"/>
      <c r="B200" s="80"/>
      <c r="C200" s="81"/>
      <c r="D200" s="81"/>
      <c r="E200" s="31"/>
      <c r="F200" s="63">
        <f t="shared" si="6"/>
        <v>0</v>
      </c>
      <c r="G200" s="82"/>
      <c r="H200" s="53">
        <f t="shared" si="7"/>
        <v>0</v>
      </c>
      <c r="I200" s="81"/>
    </row>
    <row r="201" spans="1:9" ht="18" customHeight="1">
      <c r="A201" s="79"/>
      <c r="B201" s="80"/>
      <c r="C201" s="81"/>
      <c r="D201" s="81"/>
      <c r="E201" s="31"/>
      <c r="F201" s="63">
        <f t="shared" si="6"/>
        <v>0</v>
      </c>
      <c r="G201" s="82"/>
      <c r="H201" s="53">
        <f t="shared" si="7"/>
        <v>0</v>
      </c>
      <c r="I201" s="81"/>
    </row>
    <row r="202" spans="1:9" ht="18" customHeight="1">
      <c r="A202" s="79"/>
      <c r="B202" s="80"/>
      <c r="C202" s="81"/>
      <c r="D202" s="81"/>
      <c r="E202" s="31"/>
      <c r="F202" s="63">
        <f t="shared" si="6"/>
        <v>0</v>
      </c>
      <c r="G202" s="82"/>
      <c r="H202" s="53">
        <f t="shared" si="7"/>
        <v>0</v>
      </c>
      <c r="I202" s="81"/>
    </row>
    <row r="203" spans="1:9" ht="18" customHeight="1">
      <c r="A203" s="79"/>
      <c r="B203" s="80"/>
      <c r="C203" s="81"/>
      <c r="D203" s="81"/>
      <c r="E203" s="31"/>
      <c r="F203" s="63">
        <f t="shared" si="6"/>
        <v>0</v>
      </c>
      <c r="G203" s="82"/>
      <c r="H203" s="53">
        <f t="shared" si="7"/>
        <v>0</v>
      </c>
      <c r="I203" s="81"/>
    </row>
    <row r="204" spans="1:9" ht="18" customHeight="1">
      <c r="A204" s="79"/>
      <c r="B204" s="80"/>
      <c r="C204" s="81"/>
      <c r="D204" s="81"/>
      <c r="E204" s="31"/>
      <c r="F204" s="63">
        <f t="shared" si="6"/>
        <v>0</v>
      </c>
      <c r="G204" s="82"/>
      <c r="H204" s="53">
        <f t="shared" si="7"/>
        <v>0</v>
      </c>
      <c r="I204" s="81"/>
    </row>
    <row r="205" spans="1:9" ht="18" customHeight="1">
      <c r="A205" s="79"/>
      <c r="B205" s="80"/>
      <c r="C205" s="81"/>
      <c r="D205" s="81"/>
      <c r="E205" s="31"/>
      <c r="F205" s="63">
        <f t="shared" si="6"/>
        <v>0</v>
      </c>
      <c r="G205" s="82"/>
      <c r="H205" s="53">
        <f t="shared" si="7"/>
        <v>0</v>
      </c>
      <c r="I205" s="81"/>
    </row>
    <row r="206" spans="1:9" ht="18" customHeight="1">
      <c r="A206" s="79"/>
      <c r="B206" s="80"/>
      <c r="C206" s="81"/>
      <c r="D206" s="81"/>
      <c r="E206" s="31"/>
      <c r="F206" s="63">
        <f t="shared" si="6"/>
        <v>0</v>
      </c>
      <c r="G206" s="82"/>
      <c r="H206" s="53">
        <f t="shared" si="7"/>
        <v>0</v>
      </c>
      <c r="I206" s="81"/>
    </row>
    <row r="207" spans="1:9" ht="18" customHeight="1">
      <c r="A207" s="79"/>
      <c r="B207" s="80"/>
      <c r="C207" s="81"/>
      <c r="D207" s="81"/>
      <c r="E207" s="31"/>
      <c r="F207" s="63">
        <f t="shared" si="6"/>
        <v>0</v>
      </c>
      <c r="G207" s="82"/>
      <c r="H207" s="53">
        <f t="shared" si="7"/>
        <v>0</v>
      </c>
      <c r="I207" s="81"/>
    </row>
    <row r="208" spans="1:9" ht="18" customHeight="1">
      <c r="A208" s="79"/>
      <c r="B208" s="80"/>
      <c r="C208" s="81"/>
      <c r="D208" s="81"/>
      <c r="E208" s="31"/>
      <c r="F208" s="63">
        <f t="shared" si="6"/>
        <v>0</v>
      </c>
      <c r="G208" s="82"/>
      <c r="H208" s="53">
        <f t="shared" si="7"/>
        <v>0</v>
      </c>
      <c r="I208" s="81"/>
    </row>
    <row r="209" spans="1:9" ht="18" customHeight="1">
      <c r="A209" s="79"/>
      <c r="B209" s="80"/>
      <c r="C209" s="81"/>
      <c r="D209" s="81"/>
      <c r="E209" s="31"/>
      <c r="F209" s="63">
        <f t="shared" si="6"/>
        <v>0</v>
      </c>
      <c r="G209" s="82"/>
      <c r="H209" s="53">
        <f t="shared" si="7"/>
        <v>0</v>
      </c>
      <c r="I209" s="81"/>
    </row>
    <row r="210" spans="1:9" ht="18" customHeight="1">
      <c r="A210" s="79"/>
      <c r="B210" s="80"/>
      <c r="C210" s="81"/>
      <c r="D210" s="81"/>
      <c r="E210" s="31"/>
      <c r="F210" s="63">
        <f t="shared" si="6"/>
        <v>0</v>
      </c>
      <c r="G210" s="82"/>
      <c r="H210" s="53">
        <f t="shared" si="7"/>
        <v>0</v>
      </c>
      <c r="I210" s="81"/>
    </row>
    <row r="211" spans="1:9" ht="18" customHeight="1">
      <c r="A211" s="79"/>
      <c r="B211" s="80"/>
      <c r="C211" s="81"/>
      <c r="D211" s="81"/>
      <c r="E211" s="31"/>
      <c r="F211" s="63">
        <f t="shared" si="6"/>
        <v>0</v>
      </c>
      <c r="G211" s="82"/>
      <c r="H211" s="53">
        <f t="shared" si="7"/>
        <v>0</v>
      </c>
      <c r="I211" s="81"/>
    </row>
    <row r="212" spans="1:9" ht="18" customHeight="1">
      <c r="A212" s="79"/>
      <c r="B212" s="80"/>
      <c r="C212" s="81"/>
      <c r="D212" s="81"/>
      <c r="E212" s="31"/>
      <c r="F212" s="63">
        <f t="shared" si="6"/>
        <v>0</v>
      </c>
      <c r="G212" s="82"/>
      <c r="H212" s="53">
        <f t="shared" si="7"/>
        <v>0</v>
      </c>
      <c r="I212" s="81"/>
    </row>
    <row r="213" spans="1:9" ht="18" customHeight="1">
      <c r="A213" s="79"/>
      <c r="B213" s="80"/>
      <c r="C213" s="81"/>
      <c r="D213" s="81"/>
      <c r="E213" s="31"/>
      <c r="F213" s="63">
        <f t="shared" si="6"/>
        <v>0</v>
      </c>
      <c r="G213" s="82"/>
      <c r="H213" s="53">
        <f t="shared" si="7"/>
        <v>0</v>
      </c>
      <c r="I213" s="81"/>
    </row>
    <row r="214" spans="1:9" ht="18" customHeight="1">
      <c r="A214" s="79"/>
      <c r="B214" s="80"/>
      <c r="C214" s="81"/>
      <c r="D214" s="81"/>
      <c r="E214" s="31"/>
      <c r="F214" s="63">
        <f t="shared" si="6"/>
        <v>0</v>
      </c>
      <c r="G214" s="82"/>
      <c r="H214" s="53">
        <f t="shared" si="7"/>
        <v>0</v>
      </c>
      <c r="I214" s="81"/>
    </row>
    <row r="215" spans="1:9" ht="18" customHeight="1">
      <c r="A215" s="79"/>
      <c r="B215" s="80"/>
      <c r="C215" s="81"/>
      <c r="D215" s="81"/>
      <c r="E215" s="31"/>
      <c r="F215" s="63">
        <f t="shared" si="6"/>
        <v>0</v>
      </c>
      <c r="G215" s="82"/>
      <c r="H215" s="53">
        <f t="shared" si="7"/>
        <v>0</v>
      </c>
      <c r="I215" s="81"/>
    </row>
    <row r="216" spans="1:9" ht="18" customHeight="1">
      <c r="A216" s="79"/>
      <c r="B216" s="80"/>
      <c r="C216" s="81"/>
      <c r="D216" s="81"/>
      <c r="E216" s="31"/>
      <c r="F216" s="63">
        <f t="shared" si="6"/>
        <v>0</v>
      </c>
      <c r="G216" s="82"/>
      <c r="H216" s="53">
        <f t="shared" si="7"/>
        <v>0</v>
      </c>
      <c r="I216" s="81"/>
    </row>
    <row r="217" spans="1:9" ht="18" customHeight="1">
      <c r="A217" s="79"/>
      <c r="B217" s="80"/>
      <c r="C217" s="81"/>
      <c r="D217" s="81"/>
      <c r="E217" s="31"/>
      <c r="F217" s="63">
        <f t="shared" si="6"/>
        <v>0</v>
      </c>
      <c r="G217" s="82"/>
      <c r="H217" s="53">
        <f t="shared" si="7"/>
        <v>0</v>
      </c>
      <c r="I217" s="81"/>
    </row>
    <row r="218" spans="1:9" ht="18" customHeight="1">
      <c r="A218" s="79"/>
      <c r="B218" s="80"/>
      <c r="C218" s="81"/>
      <c r="D218" s="81"/>
      <c r="E218" s="31"/>
      <c r="F218" s="63">
        <f t="shared" si="6"/>
        <v>0</v>
      </c>
      <c r="G218" s="82"/>
      <c r="H218" s="53">
        <f t="shared" si="7"/>
        <v>0</v>
      </c>
      <c r="I218" s="81"/>
    </row>
    <row r="219" spans="1:9" ht="18" customHeight="1">
      <c r="A219" s="79"/>
      <c r="B219" s="80"/>
      <c r="C219" s="81"/>
      <c r="D219" s="81"/>
      <c r="E219" s="31"/>
      <c r="F219" s="63">
        <f t="shared" si="6"/>
        <v>0</v>
      </c>
      <c r="G219" s="82"/>
      <c r="H219" s="53">
        <f t="shared" si="7"/>
        <v>0</v>
      </c>
      <c r="I219" s="81"/>
    </row>
    <row r="220" spans="1:9" ht="18" customHeight="1">
      <c r="A220" s="79"/>
      <c r="B220" s="80"/>
      <c r="C220" s="81"/>
      <c r="D220" s="81"/>
      <c r="E220" s="31"/>
      <c r="F220" s="63">
        <f t="shared" si="6"/>
        <v>0</v>
      </c>
      <c r="G220" s="82"/>
      <c r="H220" s="53">
        <f t="shared" si="7"/>
        <v>0</v>
      </c>
      <c r="I220" s="81"/>
    </row>
    <row r="221" spans="1:9" ht="18" customHeight="1">
      <c r="A221" s="79"/>
      <c r="B221" s="80"/>
      <c r="C221" s="81"/>
      <c r="D221" s="81"/>
      <c r="E221" s="31"/>
      <c r="F221" s="63">
        <f t="shared" si="6"/>
        <v>0</v>
      </c>
      <c r="G221" s="82"/>
      <c r="H221" s="53">
        <f t="shared" si="7"/>
        <v>0</v>
      </c>
      <c r="I221" s="81"/>
    </row>
    <row r="222" spans="1:9" ht="18" customHeight="1">
      <c r="A222" s="79"/>
      <c r="B222" s="80"/>
      <c r="C222" s="81"/>
      <c r="D222" s="81"/>
      <c r="E222" s="31"/>
      <c r="F222" s="63">
        <f t="shared" si="6"/>
        <v>0</v>
      </c>
      <c r="G222" s="82"/>
      <c r="H222" s="53">
        <f t="shared" si="7"/>
        <v>0</v>
      </c>
      <c r="I222" s="81"/>
    </row>
    <row r="223" spans="1:9" ht="18" customHeight="1">
      <c r="A223" s="79"/>
      <c r="B223" s="80"/>
      <c r="C223" s="81"/>
      <c r="D223" s="81"/>
      <c r="E223" s="31"/>
      <c r="F223" s="63">
        <f t="shared" si="6"/>
        <v>0</v>
      </c>
      <c r="G223" s="82"/>
      <c r="H223" s="53">
        <f t="shared" si="7"/>
        <v>0</v>
      </c>
      <c r="I223" s="81"/>
    </row>
    <row r="224" spans="1:9" ht="18" customHeight="1">
      <c r="A224" s="79"/>
      <c r="B224" s="80"/>
      <c r="C224" s="81"/>
      <c r="D224" s="81"/>
      <c r="E224" s="31"/>
      <c r="F224" s="63">
        <f t="shared" si="6"/>
        <v>0</v>
      </c>
      <c r="G224" s="82"/>
      <c r="H224" s="53">
        <f t="shared" si="7"/>
        <v>0</v>
      </c>
      <c r="I224" s="81"/>
    </row>
    <row r="225" spans="1:9" ht="18" customHeight="1">
      <c r="A225" s="79"/>
      <c r="B225" s="80"/>
      <c r="C225" s="81"/>
      <c r="D225" s="81"/>
      <c r="E225" s="31"/>
      <c r="F225" s="63">
        <f t="shared" si="6"/>
        <v>0</v>
      </c>
      <c r="G225" s="82"/>
      <c r="H225" s="53">
        <f t="shared" si="7"/>
        <v>0</v>
      </c>
      <c r="I225" s="81"/>
    </row>
    <row r="226" spans="1:9" ht="18" customHeight="1">
      <c r="A226" s="79"/>
      <c r="B226" s="80"/>
      <c r="C226" s="81"/>
      <c r="D226" s="81"/>
      <c r="E226" s="31"/>
      <c r="F226" s="63">
        <f t="shared" si="6"/>
        <v>0</v>
      </c>
      <c r="G226" s="82"/>
      <c r="H226" s="53">
        <f t="shared" si="7"/>
        <v>0</v>
      </c>
      <c r="I226" s="81"/>
    </row>
    <row r="227" spans="1:9" ht="18" customHeight="1">
      <c r="A227" s="79"/>
      <c r="B227" s="80"/>
      <c r="C227" s="81"/>
      <c r="D227" s="81"/>
      <c r="E227" s="31"/>
      <c r="F227" s="63">
        <f t="shared" si="6"/>
        <v>0</v>
      </c>
      <c r="G227" s="82"/>
      <c r="H227" s="53">
        <f t="shared" si="7"/>
        <v>0</v>
      </c>
      <c r="I227" s="81"/>
    </row>
    <row r="228" spans="1:9" ht="18" customHeight="1">
      <c r="A228" s="79"/>
      <c r="B228" s="80"/>
      <c r="C228" s="81"/>
      <c r="D228" s="81"/>
      <c r="E228" s="31"/>
      <c r="F228" s="63">
        <f t="shared" si="6"/>
        <v>0</v>
      </c>
      <c r="G228" s="82"/>
      <c r="H228" s="53">
        <f t="shared" si="7"/>
        <v>0</v>
      </c>
      <c r="I228" s="81"/>
    </row>
    <row r="229" spans="1:9" ht="18" customHeight="1">
      <c r="A229" s="79"/>
      <c r="B229" s="80"/>
      <c r="C229" s="81"/>
      <c r="D229" s="81"/>
      <c r="E229" s="31"/>
      <c r="F229" s="63">
        <f t="shared" si="6"/>
        <v>0</v>
      </c>
      <c r="G229" s="82"/>
      <c r="H229" s="53">
        <f t="shared" si="7"/>
        <v>0</v>
      </c>
      <c r="I229" s="81"/>
    </row>
    <row r="230" spans="1:9" ht="18" customHeight="1">
      <c r="A230" s="79"/>
      <c r="B230" s="80"/>
      <c r="C230" s="81"/>
      <c r="D230" s="81"/>
      <c r="E230" s="31"/>
      <c r="F230" s="63">
        <f t="shared" si="6"/>
        <v>0</v>
      </c>
      <c r="G230" s="82"/>
      <c r="H230" s="53">
        <f t="shared" si="7"/>
        <v>0</v>
      </c>
      <c r="I230" s="81"/>
    </row>
    <row r="231" spans="1:9" ht="18" customHeight="1">
      <c r="A231" s="79"/>
      <c r="B231" s="80"/>
      <c r="C231" s="81"/>
      <c r="D231" s="81"/>
      <c r="E231" s="31"/>
      <c r="F231" s="63">
        <f t="shared" si="6"/>
        <v>0</v>
      </c>
      <c r="G231" s="82"/>
      <c r="H231" s="53">
        <f t="shared" si="7"/>
        <v>0</v>
      </c>
      <c r="I231" s="81"/>
    </row>
    <row r="232" spans="1:9" ht="18" customHeight="1">
      <c r="A232" s="79"/>
      <c r="B232" s="80"/>
      <c r="C232" s="81"/>
      <c r="D232" s="81"/>
      <c r="E232" s="31"/>
      <c r="F232" s="63">
        <f t="shared" si="6"/>
        <v>0</v>
      </c>
      <c r="G232" s="82"/>
      <c r="H232" s="53">
        <f t="shared" si="7"/>
        <v>0</v>
      </c>
      <c r="I232" s="81"/>
    </row>
    <row r="233" spans="1:9" ht="18" customHeight="1">
      <c r="A233" s="79"/>
      <c r="B233" s="80"/>
      <c r="C233" s="81"/>
      <c r="D233" s="81"/>
      <c r="E233" s="31"/>
      <c r="F233" s="63">
        <f t="shared" si="6"/>
        <v>0</v>
      </c>
      <c r="G233" s="82"/>
      <c r="H233" s="53">
        <f t="shared" si="7"/>
        <v>0</v>
      </c>
      <c r="I233" s="81"/>
    </row>
    <row r="234" spans="1:9" ht="18" customHeight="1">
      <c r="A234" s="79"/>
      <c r="B234" s="80"/>
      <c r="C234" s="81"/>
      <c r="D234" s="81"/>
      <c r="E234" s="31"/>
      <c r="F234" s="63">
        <f t="shared" si="6"/>
        <v>0</v>
      </c>
      <c r="G234" s="82"/>
      <c r="H234" s="53">
        <f t="shared" si="7"/>
        <v>0</v>
      </c>
      <c r="I234" s="81"/>
    </row>
    <row r="235" spans="1:9" ht="18" customHeight="1">
      <c r="A235" s="79"/>
      <c r="B235" s="80"/>
      <c r="C235" s="81"/>
      <c r="D235" s="81"/>
      <c r="E235" s="31"/>
      <c r="F235" s="63">
        <f t="shared" si="6"/>
        <v>0</v>
      </c>
      <c r="G235" s="82"/>
      <c r="H235" s="53">
        <f t="shared" si="7"/>
        <v>0</v>
      </c>
      <c r="I235" s="81"/>
    </row>
    <row r="236" spans="1:9" ht="18" customHeight="1">
      <c r="A236" s="79"/>
      <c r="B236" s="80"/>
      <c r="C236" s="81"/>
      <c r="D236" s="81"/>
      <c r="E236" s="31"/>
      <c r="F236" s="63">
        <f t="shared" si="6"/>
        <v>0</v>
      </c>
      <c r="G236" s="82"/>
      <c r="H236" s="53">
        <f t="shared" si="7"/>
        <v>0</v>
      </c>
      <c r="I236" s="81"/>
    </row>
    <row r="237" spans="1:9" ht="18" customHeight="1">
      <c r="A237" s="79"/>
      <c r="B237" s="80"/>
      <c r="C237" s="81"/>
      <c r="D237" s="81"/>
      <c r="E237" s="31"/>
      <c r="F237" s="63">
        <f t="shared" si="6"/>
        <v>0</v>
      </c>
      <c r="G237" s="82"/>
      <c r="H237" s="53">
        <f t="shared" si="7"/>
        <v>0</v>
      </c>
      <c r="I237" s="81"/>
    </row>
    <row r="238" spans="1:9" ht="18" customHeight="1">
      <c r="A238" s="79"/>
      <c r="B238" s="80"/>
      <c r="C238" s="81"/>
      <c r="D238" s="81"/>
      <c r="E238" s="31"/>
      <c r="F238" s="63">
        <f t="shared" si="6"/>
        <v>0</v>
      </c>
      <c r="G238" s="82"/>
      <c r="H238" s="53">
        <f t="shared" si="7"/>
        <v>0</v>
      </c>
      <c r="I238" s="81"/>
    </row>
    <row r="239" spans="1:9" ht="18" customHeight="1">
      <c r="A239" s="79"/>
      <c r="B239" s="80"/>
      <c r="C239" s="81"/>
      <c r="D239" s="81"/>
      <c r="E239" s="31"/>
      <c r="F239" s="63">
        <f t="shared" si="6"/>
        <v>0</v>
      </c>
      <c r="G239" s="82"/>
      <c r="H239" s="53">
        <f t="shared" si="7"/>
        <v>0</v>
      </c>
      <c r="I239" s="81"/>
    </row>
    <row r="240" spans="1:9" ht="18" customHeight="1">
      <c r="A240" s="79"/>
      <c r="B240" s="80"/>
      <c r="C240" s="81"/>
      <c r="D240" s="81"/>
      <c r="E240" s="31"/>
      <c r="F240" s="63">
        <f t="shared" si="6"/>
        <v>0</v>
      </c>
      <c r="G240" s="82"/>
      <c r="H240" s="53">
        <f t="shared" si="7"/>
        <v>0</v>
      </c>
      <c r="I240" s="81"/>
    </row>
    <row r="241" spans="1:9" ht="18" customHeight="1">
      <c r="A241" s="79"/>
      <c r="B241" s="80"/>
      <c r="C241" s="81"/>
      <c r="D241" s="81"/>
      <c r="E241" s="31"/>
      <c r="F241" s="63">
        <f t="shared" si="6"/>
        <v>0</v>
      </c>
      <c r="G241" s="82"/>
      <c r="H241" s="53">
        <f t="shared" si="7"/>
        <v>0</v>
      </c>
      <c r="I241" s="81"/>
    </row>
    <row r="242" spans="1:9" ht="18" customHeight="1">
      <c r="A242" s="79"/>
      <c r="B242" s="80"/>
      <c r="C242" s="81"/>
      <c r="D242" s="81"/>
      <c r="E242" s="31"/>
      <c r="F242" s="63">
        <f t="shared" si="6"/>
        <v>0</v>
      </c>
      <c r="G242" s="82"/>
      <c r="H242" s="53">
        <f t="shared" si="7"/>
        <v>0</v>
      </c>
      <c r="I242" s="81"/>
    </row>
    <row r="243" spans="1:9" ht="18" customHeight="1">
      <c r="A243" s="79"/>
      <c r="B243" s="80"/>
      <c r="C243" s="81"/>
      <c r="D243" s="81"/>
      <c r="E243" s="31"/>
      <c r="F243" s="63">
        <f t="shared" si="6"/>
        <v>0</v>
      </c>
      <c r="G243" s="82"/>
      <c r="H243" s="53">
        <f t="shared" si="7"/>
        <v>0</v>
      </c>
      <c r="I243" s="81"/>
    </row>
    <row r="244" spans="1:9" ht="18" customHeight="1">
      <c r="A244" s="79"/>
      <c r="B244" s="80"/>
      <c r="C244" s="81"/>
      <c r="D244" s="81"/>
      <c r="E244" s="31"/>
      <c r="F244" s="63">
        <f t="shared" si="6"/>
        <v>0</v>
      </c>
      <c r="G244" s="82"/>
      <c r="H244" s="53">
        <f t="shared" si="7"/>
        <v>0</v>
      </c>
      <c r="I244" s="81"/>
    </row>
    <row r="245" spans="1:9" ht="18" customHeight="1">
      <c r="A245" s="79"/>
      <c r="B245" s="80"/>
      <c r="C245" s="81"/>
      <c r="D245" s="81"/>
      <c r="E245" s="31"/>
      <c r="F245" s="63">
        <f t="shared" si="6"/>
        <v>0</v>
      </c>
      <c r="G245" s="82"/>
      <c r="H245" s="53">
        <f t="shared" si="7"/>
        <v>0</v>
      </c>
      <c r="I245" s="81"/>
    </row>
    <row r="246" spans="1:9" ht="18" customHeight="1">
      <c r="A246" s="79"/>
      <c r="B246" s="80"/>
      <c r="C246" s="81"/>
      <c r="D246" s="81"/>
      <c r="E246" s="31"/>
      <c r="F246" s="63">
        <f t="shared" si="6"/>
        <v>0</v>
      </c>
      <c r="G246" s="82"/>
      <c r="H246" s="53">
        <f t="shared" si="7"/>
        <v>0</v>
      </c>
      <c r="I246" s="81"/>
    </row>
    <row r="247" spans="1:9" ht="18" customHeight="1">
      <c r="A247" s="79"/>
      <c r="B247" s="80"/>
      <c r="C247" s="81"/>
      <c r="D247" s="81"/>
      <c r="E247" s="31"/>
      <c r="F247" s="63">
        <f t="shared" si="6"/>
        <v>0</v>
      </c>
      <c r="G247" s="82"/>
      <c r="H247" s="53">
        <f t="shared" si="7"/>
        <v>0</v>
      </c>
      <c r="I247" s="81"/>
    </row>
    <row r="248" spans="1:9" ht="18" customHeight="1">
      <c r="A248" s="79"/>
      <c r="B248" s="80"/>
      <c r="C248" s="81"/>
      <c r="D248" s="81"/>
      <c r="E248" s="31"/>
      <c r="F248" s="63">
        <f t="shared" si="6"/>
        <v>0</v>
      </c>
      <c r="G248" s="82"/>
      <c r="H248" s="53">
        <f t="shared" si="7"/>
        <v>0</v>
      </c>
      <c r="I248" s="81"/>
    </row>
    <row r="249" spans="1:9" ht="18" customHeight="1">
      <c r="A249" s="79"/>
      <c r="B249" s="80"/>
      <c r="C249" s="81"/>
      <c r="D249" s="81"/>
      <c r="E249" s="31"/>
      <c r="F249" s="63">
        <f t="shared" si="6"/>
        <v>0</v>
      </c>
      <c r="G249" s="82"/>
      <c r="H249" s="53">
        <f t="shared" si="7"/>
        <v>0</v>
      </c>
      <c r="I249" s="81"/>
    </row>
    <row r="250" spans="1:9" ht="18" customHeight="1">
      <c r="A250" s="79"/>
      <c r="B250" s="80"/>
      <c r="C250" s="81"/>
      <c r="D250" s="81"/>
      <c r="E250" s="31"/>
      <c r="F250" s="63">
        <f t="shared" si="6"/>
        <v>0</v>
      </c>
      <c r="G250" s="82"/>
      <c r="H250" s="53">
        <f t="shared" si="7"/>
        <v>0</v>
      </c>
      <c r="I250" s="81"/>
    </row>
    <row r="251" spans="1:9" ht="18" customHeight="1">
      <c r="A251" s="79"/>
      <c r="B251" s="80"/>
      <c r="C251" s="81"/>
      <c r="D251" s="81"/>
      <c r="E251" s="31"/>
      <c r="F251" s="63">
        <f t="shared" si="6"/>
        <v>0</v>
      </c>
      <c r="G251" s="82"/>
      <c r="H251" s="53">
        <f t="shared" si="7"/>
        <v>0</v>
      </c>
      <c r="I251" s="81"/>
    </row>
    <row r="252" spans="1:9" ht="18" customHeight="1">
      <c r="A252" s="79"/>
      <c r="B252" s="80"/>
      <c r="C252" s="81"/>
      <c r="D252" s="81"/>
      <c r="E252" s="31"/>
      <c r="F252" s="63">
        <f t="shared" si="6"/>
        <v>0</v>
      </c>
      <c r="G252" s="82"/>
      <c r="H252" s="53">
        <f t="shared" si="7"/>
        <v>0</v>
      </c>
      <c r="I252" s="81"/>
    </row>
    <row r="253" spans="1:9" ht="18" customHeight="1">
      <c r="A253" s="79"/>
      <c r="B253" s="80"/>
      <c r="C253" s="81"/>
      <c r="D253" s="81"/>
      <c r="E253" s="31"/>
      <c r="F253" s="63">
        <f t="shared" si="6"/>
        <v>0</v>
      </c>
      <c r="G253" s="82"/>
      <c r="H253" s="53">
        <f t="shared" si="7"/>
        <v>0</v>
      </c>
      <c r="I253" s="81"/>
    </row>
    <row r="254" spans="1:9" ht="18" customHeight="1">
      <c r="A254" s="79"/>
      <c r="B254" s="80"/>
      <c r="C254" s="81"/>
      <c r="D254" s="81"/>
      <c r="E254" s="31"/>
      <c r="F254" s="63">
        <f t="shared" si="6"/>
        <v>0</v>
      </c>
      <c r="G254" s="82"/>
      <c r="H254" s="53">
        <f t="shared" si="7"/>
        <v>0</v>
      </c>
      <c r="I254" s="81"/>
    </row>
    <row r="255" spans="1:9" ht="18" customHeight="1">
      <c r="A255" s="79"/>
      <c r="B255" s="80"/>
      <c r="C255" s="81"/>
      <c r="D255" s="81"/>
      <c r="E255" s="31"/>
      <c r="F255" s="63">
        <f t="shared" si="6"/>
        <v>0</v>
      </c>
      <c r="G255" s="82"/>
      <c r="H255" s="53">
        <f t="shared" si="7"/>
        <v>0</v>
      </c>
      <c r="I255" s="81"/>
    </row>
    <row r="256" spans="1:9" ht="18" customHeight="1">
      <c r="A256" s="79"/>
      <c r="B256" s="80"/>
      <c r="C256" s="81"/>
      <c r="D256" s="81"/>
      <c r="E256" s="31"/>
      <c r="F256" s="63">
        <f t="shared" si="6"/>
        <v>0</v>
      </c>
      <c r="G256" s="82"/>
      <c r="H256" s="53">
        <f t="shared" si="7"/>
        <v>0</v>
      </c>
      <c r="I256" s="81"/>
    </row>
    <row r="257" spans="1:9" ht="18" customHeight="1">
      <c r="A257" s="79"/>
      <c r="B257" s="80"/>
      <c r="C257" s="81"/>
      <c r="D257" s="81"/>
      <c r="E257" s="31"/>
      <c r="F257" s="63">
        <f t="shared" si="6"/>
        <v>0</v>
      </c>
      <c r="G257" s="82"/>
      <c r="H257" s="53">
        <f t="shared" si="7"/>
        <v>0</v>
      </c>
      <c r="I257" s="81"/>
    </row>
    <row r="258" spans="1:9" ht="18" customHeight="1">
      <c r="A258" s="79"/>
      <c r="B258" s="80"/>
      <c r="C258" s="81"/>
      <c r="D258" s="81"/>
      <c r="E258" s="31"/>
      <c r="F258" s="63">
        <f t="shared" si="6"/>
        <v>0</v>
      </c>
      <c r="G258" s="82"/>
      <c r="H258" s="53">
        <f t="shared" si="7"/>
        <v>0</v>
      </c>
      <c r="I258" s="81"/>
    </row>
    <row r="259" spans="1:9" ht="18" customHeight="1">
      <c r="A259" s="79"/>
      <c r="B259" s="80"/>
      <c r="C259" s="81"/>
      <c r="D259" s="81"/>
      <c r="E259" s="31"/>
      <c r="F259" s="63">
        <f t="shared" si="6"/>
        <v>0</v>
      </c>
      <c r="G259" s="82"/>
      <c r="H259" s="53">
        <f t="shared" si="7"/>
        <v>0</v>
      </c>
      <c r="I259" s="81"/>
    </row>
    <row r="260" spans="1:9" ht="18" customHeight="1">
      <c r="A260" s="79"/>
      <c r="B260" s="80"/>
      <c r="C260" s="81"/>
      <c r="D260" s="81"/>
      <c r="E260" s="31"/>
      <c r="F260" s="63">
        <f t="shared" si="6"/>
        <v>0</v>
      </c>
      <c r="G260" s="82"/>
      <c r="H260" s="53">
        <f t="shared" si="7"/>
        <v>0</v>
      </c>
      <c r="I260" s="81"/>
    </row>
    <row r="261" spans="1:9" ht="18" customHeight="1">
      <c r="A261" s="79"/>
      <c r="B261" s="80"/>
      <c r="C261" s="81"/>
      <c r="D261" s="81"/>
      <c r="E261" s="31"/>
      <c r="F261" s="63">
        <f t="shared" si="6"/>
        <v>0</v>
      </c>
      <c r="G261" s="82"/>
      <c r="H261" s="53">
        <f t="shared" si="7"/>
        <v>0</v>
      </c>
      <c r="I261" s="81"/>
    </row>
    <row r="262" spans="1:9" ht="18" customHeight="1">
      <c r="A262" s="79"/>
      <c r="B262" s="80"/>
      <c r="C262" s="81"/>
      <c r="D262" s="81"/>
      <c r="E262" s="31"/>
      <c r="F262" s="63">
        <f t="shared" si="6"/>
        <v>0</v>
      </c>
      <c r="G262" s="82"/>
      <c r="H262" s="53">
        <f t="shared" si="7"/>
        <v>0</v>
      </c>
      <c r="I262" s="81"/>
    </row>
    <row r="263" spans="1:9" ht="18" customHeight="1">
      <c r="A263" s="79"/>
      <c r="B263" s="80"/>
      <c r="C263" s="81"/>
      <c r="D263" s="81"/>
      <c r="E263" s="31"/>
      <c r="F263" s="63">
        <f t="shared" ref="F263:F326" si="8">IFERROR(E263*$B$3,0)</f>
        <v>0</v>
      </c>
      <c r="G263" s="82"/>
      <c r="H263" s="53">
        <f t="shared" ref="H263:H326" si="9">IFERROR(E263+F263,0)</f>
        <v>0</v>
      </c>
      <c r="I263" s="81"/>
    </row>
    <row r="264" spans="1:9" ht="18" customHeight="1">
      <c r="A264" s="79"/>
      <c r="B264" s="80"/>
      <c r="C264" s="81"/>
      <c r="D264" s="81"/>
      <c r="E264" s="31"/>
      <c r="F264" s="63">
        <f t="shared" si="8"/>
        <v>0</v>
      </c>
      <c r="G264" s="82"/>
      <c r="H264" s="53">
        <f t="shared" si="9"/>
        <v>0</v>
      </c>
      <c r="I264" s="81"/>
    </row>
    <row r="265" spans="1:9" ht="18" customHeight="1">
      <c r="A265" s="79"/>
      <c r="B265" s="80"/>
      <c r="C265" s="81"/>
      <c r="D265" s="81"/>
      <c r="E265" s="31"/>
      <c r="F265" s="63">
        <f t="shared" si="8"/>
        <v>0</v>
      </c>
      <c r="G265" s="82"/>
      <c r="H265" s="53">
        <f t="shared" si="9"/>
        <v>0</v>
      </c>
      <c r="I265" s="81"/>
    </row>
    <row r="266" spans="1:9" ht="18" customHeight="1">
      <c r="A266" s="79"/>
      <c r="B266" s="80"/>
      <c r="C266" s="81"/>
      <c r="D266" s="81"/>
      <c r="E266" s="31"/>
      <c r="F266" s="63">
        <f t="shared" si="8"/>
        <v>0</v>
      </c>
      <c r="G266" s="82"/>
      <c r="H266" s="53">
        <f t="shared" si="9"/>
        <v>0</v>
      </c>
      <c r="I266" s="81"/>
    </row>
    <row r="267" spans="1:9" ht="18" customHeight="1">
      <c r="A267" s="79"/>
      <c r="B267" s="80"/>
      <c r="C267" s="81"/>
      <c r="D267" s="81"/>
      <c r="E267" s="31"/>
      <c r="F267" s="63">
        <f t="shared" si="8"/>
        <v>0</v>
      </c>
      <c r="G267" s="82"/>
      <c r="H267" s="53">
        <f t="shared" si="9"/>
        <v>0</v>
      </c>
      <c r="I267" s="81"/>
    </row>
    <row r="268" spans="1:9" ht="18" customHeight="1">
      <c r="A268" s="79"/>
      <c r="B268" s="80"/>
      <c r="C268" s="81"/>
      <c r="D268" s="81"/>
      <c r="E268" s="31"/>
      <c r="F268" s="63">
        <f t="shared" si="8"/>
        <v>0</v>
      </c>
      <c r="G268" s="82"/>
      <c r="H268" s="53">
        <f t="shared" si="9"/>
        <v>0</v>
      </c>
      <c r="I268" s="81"/>
    </row>
    <row r="269" spans="1:9" ht="18" customHeight="1">
      <c r="A269" s="79"/>
      <c r="B269" s="80"/>
      <c r="C269" s="81"/>
      <c r="D269" s="81"/>
      <c r="E269" s="31"/>
      <c r="F269" s="63">
        <f t="shared" si="8"/>
        <v>0</v>
      </c>
      <c r="G269" s="82"/>
      <c r="H269" s="53">
        <f t="shared" si="9"/>
        <v>0</v>
      </c>
      <c r="I269" s="81"/>
    </row>
    <row r="270" spans="1:9" ht="18" customHeight="1">
      <c r="A270" s="79"/>
      <c r="B270" s="80"/>
      <c r="C270" s="81"/>
      <c r="D270" s="81"/>
      <c r="E270" s="31"/>
      <c r="F270" s="63">
        <f t="shared" si="8"/>
        <v>0</v>
      </c>
      <c r="G270" s="82"/>
      <c r="H270" s="53">
        <f t="shared" si="9"/>
        <v>0</v>
      </c>
      <c r="I270" s="81"/>
    </row>
    <row r="271" spans="1:9" ht="18" customHeight="1">
      <c r="A271" s="79"/>
      <c r="B271" s="80"/>
      <c r="C271" s="81"/>
      <c r="D271" s="81"/>
      <c r="E271" s="31"/>
      <c r="F271" s="63">
        <f t="shared" si="8"/>
        <v>0</v>
      </c>
      <c r="G271" s="82"/>
      <c r="H271" s="53">
        <f t="shared" si="9"/>
        <v>0</v>
      </c>
      <c r="I271" s="81"/>
    </row>
    <row r="272" spans="1:9" ht="18" customHeight="1">
      <c r="A272" s="79"/>
      <c r="B272" s="80"/>
      <c r="C272" s="81"/>
      <c r="D272" s="81"/>
      <c r="E272" s="31"/>
      <c r="F272" s="63">
        <f t="shared" si="8"/>
        <v>0</v>
      </c>
      <c r="G272" s="82"/>
      <c r="H272" s="53">
        <f t="shared" si="9"/>
        <v>0</v>
      </c>
      <c r="I272" s="81"/>
    </row>
    <row r="273" spans="1:9" ht="18" customHeight="1">
      <c r="A273" s="79"/>
      <c r="B273" s="80"/>
      <c r="C273" s="81"/>
      <c r="D273" s="81"/>
      <c r="E273" s="31"/>
      <c r="F273" s="63">
        <f t="shared" si="8"/>
        <v>0</v>
      </c>
      <c r="G273" s="82"/>
      <c r="H273" s="53">
        <f t="shared" si="9"/>
        <v>0</v>
      </c>
      <c r="I273" s="81"/>
    </row>
    <row r="274" spans="1:9" ht="18" customHeight="1">
      <c r="A274" s="79"/>
      <c r="B274" s="80"/>
      <c r="C274" s="81"/>
      <c r="D274" s="81"/>
      <c r="E274" s="31"/>
      <c r="F274" s="63">
        <f t="shared" si="8"/>
        <v>0</v>
      </c>
      <c r="G274" s="82"/>
      <c r="H274" s="53">
        <f t="shared" si="9"/>
        <v>0</v>
      </c>
      <c r="I274" s="81"/>
    </row>
    <row r="275" spans="1:9" ht="18" customHeight="1">
      <c r="A275" s="79"/>
      <c r="B275" s="80"/>
      <c r="C275" s="81"/>
      <c r="D275" s="81"/>
      <c r="E275" s="31"/>
      <c r="F275" s="63">
        <f t="shared" si="8"/>
        <v>0</v>
      </c>
      <c r="G275" s="82"/>
      <c r="H275" s="53">
        <f t="shared" si="9"/>
        <v>0</v>
      </c>
      <c r="I275" s="81"/>
    </row>
    <row r="276" spans="1:9" ht="18" customHeight="1">
      <c r="A276" s="79"/>
      <c r="B276" s="80"/>
      <c r="C276" s="81"/>
      <c r="D276" s="81"/>
      <c r="E276" s="31"/>
      <c r="F276" s="63">
        <f t="shared" si="8"/>
        <v>0</v>
      </c>
      <c r="G276" s="82"/>
      <c r="H276" s="53">
        <f t="shared" si="9"/>
        <v>0</v>
      </c>
      <c r="I276" s="81"/>
    </row>
    <row r="277" spans="1:9" ht="18" customHeight="1">
      <c r="A277" s="79"/>
      <c r="B277" s="80"/>
      <c r="C277" s="81"/>
      <c r="D277" s="81"/>
      <c r="E277" s="31"/>
      <c r="F277" s="63">
        <f t="shared" si="8"/>
        <v>0</v>
      </c>
      <c r="G277" s="82"/>
      <c r="H277" s="53">
        <f t="shared" si="9"/>
        <v>0</v>
      </c>
      <c r="I277" s="81"/>
    </row>
    <row r="278" spans="1:9" ht="18" customHeight="1">
      <c r="A278" s="79"/>
      <c r="B278" s="80"/>
      <c r="C278" s="81"/>
      <c r="D278" s="81"/>
      <c r="E278" s="31"/>
      <c r="F278" s="63">
        <f t="shared" si="8"/>
        <v>0</v>
      </c>
      <c r="G278" s="82"/>
      <c r="H278" s="53">
        <f t="shared" si="9"/>
        <v>0</v>
      </c>
      <c r="I278" s="81"/>
    </row>
    <row r="279" spans="1:9" ht="18" customHeight="1">
      <c r="A279" s="79"/>
      <c r="B279" s="80"/>
      <c r="C279" s="81"/>
      <c r="D279" s="81"/>
      <c r="E279" s="31"/>
      <c r="F279" s="63">
        <f t="shared" si="8"/>
        <v>0</v>
      </c>
      <c r="G279" s="82"/>
      <c r="H279" s="53">
        <f t="shared" si="9"/>
        <v>0</v>
      </c>
      <c r="I279" s="81"/>
    </row>
    <row r="280" spans="1:9" ht="18" customHeight="1">
      <c r="A280" s="79"/>
      <c r="B280" s="80"/>
      <c r="C280" s="81"/>
      <c r="D280" s="81"/>
      <c r="E280" s="31"/>
      <c r="F280" s="63">
        <f t="shared" si="8"/>
        <v>0</v>
      </c>
      <c r="G280" s="82"/>
      <c r="H280" s="53">
        <f t="shared" si="9"/>
        <v>0</v>
      </c>
      <c r="I280" s="81"/>
    </row>
    <row r="281" spans="1:9" ht="18" customHeight="1">
      <c r="A281" s="79"/>
      <c r="B281" s="80"/>
      <c r="C281" s="81"/>
      <c r="D281" s="81"/>
      <c r="E281" s="31"/>
      <c r="F281" s="63">
        <f t="shared" si="8"/>
        <v>0</v>
      </c>
      <c r="G281" s="82"/>
      <c r="H281" s="53">
        <f t="shared" si="9"/>
        <v>0</v>
      </c>
      <c r="I281" s="81"/>
    </row>
    <row r="282" spans="1:9" ht="18" customHeight="1">
      <c r="A282" s="79"/>
      <c r="B282" s="80"/>
      <c r="C282" s="81"/>
      <c r="D282" s="81"/>
      <c r="E282" s="31"/>
      <c r="F282" s="63">
        <f t="shared" si="8"/>
        <v>0</v>
      </c>
      <c r="G282" s="82"/>
      <c r="H282" s="53">
        <f t="shared" si="9"/>
        <v>0</v>
      </c>
      <c r="I282" s="81"/>
    </row>
    <row r="283" spans="1:9" ht="18" customHeight="1">
      <c r="A283" s="79"/>
      <c r="B283" s="80"/>
      <c r="C283" s="81"/>
      <c r="D283" s="81"/>
      <c r="E283" s="31"/>
      <c r="F283" s="63">
        <f t="shared" si="8"/>
        <v>0</v>
      </c>
      <c r="G283" s="82"/>
      <c r="H283" s="53">
        <f t="shared" si="9"/>
        <v>0</v>
      </c>
      <c r="I283" s="81"/>
    </row>
    <row r="284" spans="1:9" ht="18" customHeight="1">
      <c r="A284" s="79"/>
      <c r="B284" s="80"/>
      <c r="C284" s="81"/>
      <c r="D284" s="81"/>
      <c r="E284" s="31"/>
      <c r="F284" s="63">
        <f t="shared" si="8"/>
        <v>0</v>
      </c>
      <c r="G284" s="82"/>
      <c r="H284" s="53">
        <f t="shared" si="9"/>
        <v>0</v>
      </c>
      <c r="I284" s="81"/>
    </row>
    <row r="285" spans="1:9" ht="18" customHeight="1">
      <c r="A285" s="79"/>
      <c r="B285" s="80"/>
      <c r="C285" s="81"/>
      <c r="D285" s="81"/>
      <c r="E285" s="31"/>
      <c r="F285" s="63">
        <f t="shared" si="8"/>
        <v>0</v>
      </c>
      <c r="G285" s="82"/>
      <c r="H285" s="53">
        <f t="shared" si="9"/>
        <v>0</v>
      </c>
      <c r="I285" s="81"/>
    </row>
    <row r="286" spans="1:9" ht="18" customHeight="1">
      <c r="A286" s="79"/>
      <c r="B286" s="80"/>
      <c r="C286" s="81"/>
      <c r="D286" s="81"/>
      <c r="E286" s="31"/>
      <c r="F286" s="63">
        <f t="shared" si="8"/>
        <v>0</v>
      </c>
      <c r="G286" s="82"/>
      <c r="H286" s="53">
        <f t="shared" si="9"/>
        <v>0</v>
      </c>
      <c r="I286" s="81"/>
    </row>
    <row r="287" spans="1:9" ht="18" customHeight="1">
      <c r="A287" s="79"/>
      <c r="B287" s="80"/>
      <c r="C287" s="81"/>
      <c r="D287" s="81"/>
      <c r="E287" s="31"/>
      <c r="F287" s="63">
        <f t="shared" si="8"/>
        <v>0</v>
      </c>
      <c r="G287" s="82"/>
      <c r="H287" s="53">
        <f t="shared" si="9"/>
        <v>0</v>
      </c>
      <c r="I287" s="81"/>
    </row>
    <row r="288" spans="1:9" ht="18" customHeight="1">
      <c r="A288" s="79"/>
      <c r="B288" s="80"/>
      <c r="C288" s="81"/>
      <c r="D288" s="81"/>
      <c r="E288" s="31"/>
      <c r="F288" s="63">
        <f t="shared" si="8"/>
        <v>0</v>
      </c>
      <c r="G288" s="82"/>
      <c r="H288" s="53">
        <f t="shared" si="9"/>
        <v>0</v>
      </c>
      <c r="I288" s="81"/>
    </row>
    <row r="289" spans="1:9" ht="18" customHeight="1">
      <c r="A289" s="79"/>
      <c r="B289" s="80"/>
      <c r="C289" s="81"/>
      <c r="D289" s="81"/>
      <c r="E289" s="31"/>
      <c r="F289" s="63">
        <f t="shared" si="8"/>
        <v>0</v>
      </c>
      <c r="G289" s="82"/>
      <c r="H289" s="53">
        <f t="shared" si="9"/>
        <v>0</v>
      </c>
      <c r="I289" s="81"/>
    </row>
    <row r="290" spans="1:9" ht="18" customHeight="1">
      <c r="A290" s="79"/>
      <c r="B290" s="80"/>
      <c r="C290" s="81"/>
      <c r="D290" s="81"/>
      <c r="E290" s="31"/>
      <c r="F290" s="63">
        <f t="shared" si="8"/>
        <v>0</v>
      </c>
      <c r="G290" s="82"/>
      <c r="H290" s="53">
        <f t="shared" si="9"/>
        <v>0</v>
      </c>
      <c r="I290" s="81"/>
    </row>
    <row r="291" spans="1:9" ht="18" customHeight="1">
      <c r="A291" s="79"/>
      <c r="B291" s="80"/>
      <c r="C291" s="81"/>
      <c r="D291" s="81"/>
      <c r="E291" s="31"/>
      <c r="F291" s="63">
        <f t="shared" si="8"/>
        <v>0</v>
      </c>
      <c r="G291" s="82"/>
      <c r="H291" s="53">
        <f t="shared" si="9"/>
        <v>0</v>
      </c>
      <c r="I291" s="81"/>
    </row>
    <row r="292" spans="1:9" ht="18" customHeight="1">
      <c r="A292" s="79"/>
      <c r="B292" s="80"/>
      <c r="C292" s="81"/>
      <c r="D292" s="81"/>
      <c r="E292" s="31"/>
      <c r="F292" s="63">
        <f t="shared" si="8"/>
        <v>0</v>
      </c>
      <c r="G292" s="82"/>
      <c r="H292" s="53">
        <f t="shared" si="9"/>
        <v>0</v>
      </c>
      <c r="I292" s="81"/>
    </row>
    <row r="293" spans="1:9" ht="18" customHeight="1">
      <c r="A293" s="79"/>
      <c r="B293" s="80"/>
      <c r="C293" s="81"/>
      <c r="D293" s="81"/>
      <c r="E293" s="31"/>
      <c r="F293" s="63">
        <f t="shared" si="8"/>
        <v>0</v>
      </c>
      <c r="G293" s="82"/>
      <c r="H293" s="53">
        <f t="shared" si="9"/>
        <v>0</v>
      </c>
      <c r="I293" s="81"/>
    </row>
    <row r="294" spans="1:9" ht="18" customHeight="1">
      <c r="A294" s="79"/>
      <c r="B294" s="80"/>
      <c r="C294" s="81"/>
      <c r="D294" s="81"/>
      <c r="E294" s="31"/>
      <c r="F294" s="63">
        <f t="shared" si="8"/>
        <v>0</v>
      </c>
      <c r="G294" s="82"/>
      <c r="H294" s="53">
        <f t="shared" si="9"/>
        <v>0</v>
      </c>
      <c r="I294" s="81"/>
    </row>
    <row r="295" spans="1:9" ht="18" customHeight="1">
      <c r="A295" s="79"/>
      <c r="B295" s="80"/>
      <c r="C295" s="81"/>
      <c r="D295" s="81"/>
      <c r="E295" s="31"/>
      <c r="F295" s="63">
        <f t="shared" si="8"/>
        <v>0</v>
      </c>
      <c r="G295" s="82"/>
      <c r="H295" s="53">
        <f t="shared" si="9"/>
        <v>0</v>
      </c>
      <c r="I295" s="81"/>
    </row>
    <row r="296" spans="1:9" ht="18" customHeight="1">
      <c r="A296" s="79"/>
      <c r="B296" s="80"/>
      <c r="C296" s="81"/>
      <c r="D296" s="81"/>
      <c r="E296" s="31"/>
      <c r="F296" s="63">
        <f t="shared" si="8"/>
        <v>0</v>
      </c>
      <c r="G296" s="82"/>
      <c r="H296" s="53">
        <f t="shared" si="9"/>
        <v>0</v>
      </c>
      <c r="I296" s="81"/>
    </row>
    <row r="297" spans="1:9" ht="18" customHeight="1">
      <c r="A297" s="79"/>
      <c r="B297" s="80"/>
      <c r="C297" s="81"/>
      <c r="D297" s="81"/>
      <c r="E297" s="31"/>
      <c r="F297" s="63">
        <f t="shared" si="8"/>
        <v>0</v>
      </c>
      <c r="G297" s="82"/>
      <c r="H297" s="53">
        <f t="shared" si="9"/>
        <v>0</v>
      </c>
      <c r="I297" s="81"/>
    </row>
    <row r="298" spans="1:9" ht="18" customHeight="1">
      <c r="A298" s="79"/>
      <c r="B298" s="80"/>
      <c r="C298" s="81"/>
      <c r="D298" s="81"/>
      <c r="E298" s="31"/>
      <c r="F298" s="63">
        <f t="shared" si="8"/>
        <v>0</v>
      </c>
      <c r="G298" s="82"/>
      <c r="H298" s="53">
        <f t="shared" si="9"/>
        <v>0</v>
      </c>
      <c r="I298" s="81"/>
    </row>
    <row r="299" spans="1:9" ht="18" customHeight="1">
      <c r="A299" s="79"/>
      <c r="B299" s="80"/>
      <c r="C299" s="81"/>
      <c r="D299" s="81"/>
      <c r="E299" s="31"/>
      <c r="F299" s="63">
        <f t="shared" si="8"/>
        <v>0</v>
      </c>
      <c r="G299" s="82"/>
      <c r="H299" s="53">
        <f t="shared" si="9"/>
        <v>0</v>
      </c>
      <c r="I299" s="81"/>
    </row>
    <row r="300" spans="1:9" ht="18" customHeight="1">
      <c r="A300" s="79"/>
      <c r="B300" s="80"/>
      <c r="C300" s="81"/>
      <c r="D300" s="81"/>
      <c r="E300" s="31"/>
      <c r="F300" s="63">
        <f t="shared" si="8"/>
        <v>0</v>
      </c>
      <c r="G300" s="82"/>
      <c r="H300" s="53">
        <f t="shared" si="9"/>
        <v>0</v>
      </c>
      <c r="I300" s="81"/>
    </row>
    <row r="301" spans="1:9" ht="18" customHeight="1">
      <c r="A301" s="79"/>
      <c r="B301" s="80"/>
      <c r="C301" s="81"/>
      <c r="D301" s="81"/>
      <c r="E301" s="31"/>
      <c r="F301" s="63">
        <f t="shared" si="8"/>
        <v>0</v>
      </c>
      <c r="G301" s="82"/>
      <c r="H301" s="53">
        <f t="shared" si="9"/>
        <v>0</v>
      </c>
      <c r="I301" s="81"/>
    </row>
    <row r="302" spans="1:9" ht="18" customHeight="1">
      <c r="A302" s="79"/>
      <c r="B302" s="80"/>
      <c r="C302" s="81"/>
      <c r="D302" s="81"/>
      <c r="E302" s="31"/>
      <c r="F302" s="63">
        <f t="shared" si="8"/>
        <v>0</v>
      </c>
      <c r="G302" s="82"/>
      <c r="H302" s="53">
        <f t="shared" si="9"/>
        <v>0</v>
      </c>
      <c r="I302" s="81"/>
    </row>
    <row r="303" spans="1:9" ht="18" customHeight="1">
      <c r="A303" s="79"/>
      <c r="B303" s="80"/>
      <c r="C303" s="81"/>
      <c r="D303" s="81"/>
      <c r="E303" s="31"/>
      <c r="F303" s="63">
        <f t="shared" si="8"/>
        <v>0</v>
      </c>
      <c r="G303" s="82"/>
      <c r="H303" s="53">
        <f t="shared" si="9"/>
        <v>0</v>
      </c>
      <c r="I303" s="81"/>
    </row>
    <row r="304" spans="1:9" ht="18" customHeight="1">
      <c r="A304" s="79"/>
      <c r="B304" s="80"/>
      <c r="C304" s="81"/>
      <c r="D304" s="81"/>
      <c r="E304" s="31"/>
      <c r="F304" s="63">
        <f t="shared" si="8"/>
        <v>0</v>
      </c>
      <c r="G304" s="82"/>
      <c r="H304" s="53">
        <f t="shared" si="9"/>
        <v>0</v>
      </c>
      <c r="I304" s="81"/>
    </row>
    <row r="305" spans="1:9" ht="18" customHeight="1">
      <c r="A305" s="79"/>
      <c r="B305" s="80"/>
      <c r="C305" s="81"/>
      <c r="D305" s="81"/>
      <c r="E305" s="31"/>
      <c r="F305" s="63">
        <f t="shared" si="8"/>
        <v>0</v>
      </c>
      <c r="G305" s="82"/>
      <c r="H305" s="53">
        <f t="shared" si="9"/>
        <v>0</v>
      </c>
      <c r="I305" s="81"/>
    </row>
    <row r="306" spans="1:9" ht="18" customHeight="1">
      <c r="A306" s="79"/>
      <c r="B306" s="80"/>
      <c r="C306" s="81"/>
      <c r="D306" s="81"/>
      <c r="E306" s="31"/>
      <c r="F306" s="63">
        <f t="shared" si="8"/>
        <v>0</v>
      </c>
      <c r="G306" s="82"/>
      <c r="H306" s="53">
        <f t="shared" si="9"/>
        <v>0</v>
      </c>
      <c r="I306" s="81"/>
    </row>
    <row r="307" spans="1:9" ht="18" customHeight="1">
      <c r="A307" s="79"/>
      <c r="B307" s="80"/>
      <c r="C307" s="81"/>
      <c r="D307" s="81"/>
      <c r="E307" s="31"/>
      <c r="F307" s="63">
        <f t="shared" si="8"/>
        <v>0</v>
      </c>
      <c r="G307" s="82"/>
      <c r="H307" s="53">
        <f t="shared" si="9"/>
        <v>0</v>
      </c>
      <c r="I307" s="81"/>
    </row>
    <row r="308" spans="1:9" ht="18" customHeight="1">
      <c r="A308" s="79"/>
      <c r="B308" s="80"/>
      <c r="C308" s="81"/>
      <c r="D308" s="81"/>
      <c r="E308" s="31"/>
      <c r="F308" s="63">
        <f t="shared" si="8"/>
        <v>0</v>
      </c>
      <c r="G308" s="82"/>
      <c r="H308" s="53">
        <f t="shared" si="9"/>
        <v>0</v>
      </c>
      <c r="I308" s="81"/>
    </row>
    <row r="309" spans="1:9" ht="18" customHeight="1">
      <c r="A309" s="79"/>
      <c r="B309" s="80"/>
      <c r="C309" s="81"/>
      <c r="D309" s="81"/>
      <c r="E309" s="31"/>
      <c r="F309" s="63">
        <f t="shared" si="8"/>
        <v>0</v>
      </c>
      <c r="G309" s="82"/>
      <c r="H309" s="53">
        <f t="shared" si="9"/>
        <v>0</v>
      </c>
      <c r="I309" s="81"/>
    </row>
    <row r="310" spans="1:9" ht="18" customHeight="1">
      <c r="A310" s="79"/>
      <c r="B310" s="80"/>
      <c r="C310" s="81"/>
      <c r="D310" s="81"/>
      <c r="E310" s="31"/>
      <c r="F310" s="63">
        <f t="shared" si="8"/>
        <v>0</v>
      </c>
      <c r="G310" s="82"/>
      <c r="H310" s="53">
        <f t="shared" si="9"/>
        <v>0</v>
      </c>
      <c r="I310" s="81"/>
    </row>
    <row r="311" spans="1:9" ht="18" customHeight="1">
      <c r="A311" s="79"/>
      <c r="B311" s="80"/>
      <c r="C311" s="81"/>
      <c r="D311" s="81"/>
      <c r="E311" s="31"/>
      <c r="F311" s="63">
        <f t="shared" si="8"/>
        <v>0</v>
      </c>
      <c r="G311" s="82"/>
      <c r="H311" s="53">
        <f t="shared" si="9"/>
        <v>0</v>
      </c>
      <c r="I311" s="81"/>
    </row>
    <row r="312" spans="1:9" ht="18" customHeight="1">
      <c r="A312" s="79"/>
      <c r="B312" s="80"/>
      <c r="C312" s="81"/>
      <c r="D312" s="81"/>
      <c r="E312" s="31"/>
      <c r="F312" s="63">
        <f t="shared" si="8"/>
        <v>0</v>
      </c>
      <c r="G312" s="82"/>
      <c r="H312" s="53">
        <f t="shared" si="9"/>
        <v>0</v>
      </c>
      <c r="I312" s="81"/>
    </row>
    <row r="313" spans="1:9" ht="18" customHeight="1">
      <c r="A313" s="79"/>
      <c r="B313" s="80"/>
      <c r="C313" s="81"/>
      <c r="D313" s="81"/>
      <c r="E313" s="31"/>
      <c r="F313" s="63">
        <f t="shared" si="8"/>
        <v>0</v>
      </c>
      <c r="G313" s="82"/>
      <c r="H313" s="53">
        <f t="shared" si="9"/>
        <v>0</v>
      </c>
      <c r="I313" s="81"/>
    </row>
    <row r="314" spans="1:9" ht="18" customHeight="1">
      <c r="A314" s="79"/>
      <c r="B314" s="80"/>
      <c r="C314" s="81"/>
      <c r="D314" s="81"/>
      <c r="E314" s="31"/>
      <c r="F314" s="63">
        <f t="shared" si="8"/>
        <v>0</v>
      </c>
      <c r="G314" s="82"/>
      <c r="H314" s="53">
        <f t="shared" si="9"/>
        <v>0</v>
      </c>
      <c r="I314" s="81"/>
    </row>
    <row r="315" spans="1:9" ht="18" customHeight="1">
      <c r="A315" s="79"/>
      <c r="B315" s="80"/>
      <c r="C315" s="81"/>
      <c r="D315" s="81"/>
      <c r="E315" s="31"/>
      <c r="F315" s="63">
        <f t="shared" si="8"/>
        <v>0</v>
      </c>
      <c r="G315" s="82"/>
      <c r="H315" s="53">
        <f t="shared" si="9"/>
        <v>0</v>
      </c>
      <c r="I315" s="81"/>
    </row>
    <row r="316" spans="1:9" ht="18" customHeight="1">
      <c r="A316" s="79"/>
      <c r="B316" s="80"/>
      <c r="C316" s="81"/>
      <c r="D316" s="81"/>
      <c r="E316" s="31"/>
      <c r="F316" s="63">
        <f t="shared" si="8"/>
        <v>0</v>
      </c>
      <c r="G316" s="82"/>
      <c r="H316" s="53">
        <f t="shared" si="9"/>
        <v>0</v>
      </c>
      <c r="I316" s="81"/>
    </row>
    <row r="317" spans="1:9" ht="18" customHeight="1">
      <c r="A317" s="79"/>
      <c r="B317" s="80"/>
      <c r="C317" s="81"/>
      <c r="D317" s="81"/>
      <c r="E317" s="31"/>
      <c r="F317" s="63">
        <f t="shared" si="8"/>
        <v>0</v>
      </c>
      <c r="G317" s="82"/>
      <c r="H317" s="53">
        <f t="shared" si="9"/>
        <v>0</v>
      </c>
      <c r="I317" s="81"/>
    </row>
    <row r="318" spans="1:9" ht="18" customHeight="1">
      <c r="A318" s="79"/>
      <c r="B318" s="80"/>
      <c r="C318" s="81"/>
      <c r="D318" s="81"/>
      <c r="E318" s="31"/>
      <c r="F318" s="63">
        <f t="shared" si="8"/>
        <v>0</v>
      </c>
      <c r="G318" s="82"/>
      <c r="H318" s="53">
        <f t="shared" si="9"/>
        <v>0</v>
      </c>
      <c r="I318" s="81"/>
    </row>
    <row r="319" spans="1:9" ht="18" customHeight="1">
      <c r="A319" s="79"/>
      <c r="B319" s="80"/>
      <c r="C319" s="81"/>
      <c r="D319" s="81"/>
      <c r="E319" s="31"/>
      <c r="F319" s="63">
        <f t="shared" si="8"/>
        <v>0</v>
      </c>
      <c r="G319" s="82"/>
      <c r="H319" s="53">
        <f t="shared" si="9"/>
        <v>0</v>
      </c>
      <c r="I319" s="81"/>
    </row>
    <row r="320" spans="1:9" ht="18" customHeight="1">
      <c r="A320" s="79"/>
      <c r="B320" s="80"/>
      <c r="C320" s="81"/>
      <c r="D320" s="81"/>
      <c r="E320" s="31"/>
      <c r="F320" s="63">
        <f t="shared" si="8"/>
        <v>0</v>
      </c>
      <c r="G320" s="82"/>
      <c r="H320" s="53">
        <f t="shared" si="9"/>
        <v>0</v>
      </c>
      <c r="I320" s="81"/>
    </row>
    <row r="321" spans="1:9" ht="18" customHeight="1">
      <c r="A321" s="79"/>
      <c r="B321" s="80"/>
      <c r="C321" s="81"/>
      <c r="D321" s="81"/>
      <c r="E321" s="31"/>
      <c r="F321" s="63">
        <f t="shared" si="8"/>
        <v>0</v>
      </c>
      <c r="G321" s="82"/>
      <c r="H321" s="53">
        <f t="shared" si="9"/>
        <v>0</v>
      </c>
      <c r="I321" s="81"/>
    </row>
    <row r="322" spans="1:9" ht="18" customHeight="1">
      <c r="A322" s="79"/>
      <c r="B322" s="80"/>
      <c r="C322" s="81"/>
      <c r="D322" s="81"/>
      <c r="E322" s="31"/>
      <c r="F322" s="63">
        <f t="shared" si="8"/>
        <v>0</v>
      </c>
      <c r="G322" s="82"/>
      <c r="H322" s="53">
        <f t="shared" si="9"/>
        <v>0</v>
      </c>
      <c r="I322" s="81"/>
    </row>
    <row r="323" spans="1:9" ht="18" customHeight="1">
      <c r="A323" s="79"/>
      <c r="B323" s="80"/>
      <c r="C323" s="81"/>
      <c r="D323" s="81"/>
      <c r="E323" s="31"/>
      <c r="F323" s="63">
        <f t="shared" si="8"/>
        <v>0</v>
      </c>
      <c r="G323" s="82"/>
      <c r="H323" s="53">
        <f t="shared" si="9"/>
        <v>0</v>
      </c>
      <c r="I323" s="81"/>
    </row>
    <row r="324" spans="1:9" ht="18" customHeight="1">
      <c r="A324" s="79"/>
      <c r="B324" s="80"/>
      <c r="C324" s="81"/>
      <c r="D324" s="81"/>
      <c r="E324" s="31"/>
      <c r="F324" s="63">
        <f t="shared" si="8"/>
        <v>0</v>
      </c>
      <c r="G324" s="82"/>
      <c r="H324" s="53">
        <f t="shared" si="9"/>
        <v>0</v>
      </c>
      <c r="I324" s="81"/>
    </row>
    <row r="325" spans="1:9" ht="18" customHeight="1">
      <c r="A325" s="79"/>
      <c r="B325" s="80"/>
      <c r="C325" s="81"/>
      <c r="D325" s="81"/>
      <c r="E325" s="31"/>
      <c r="F325" s="63">
        <f t="shared" si="8"/>
        <v>0</v>
      </c>
      <c r="G325" s="82"/>
      <c r="H325" s="53">
        <f t="shared" si="9"/>
        <v>0</v>
      </c>
      <c r="I325" s="81"/>
    </row>
    <row r="326" spans="1:9" ht="18" customHeight="1">
      <c r="A326" s="79"/>
      <c r="B326" s="80"/>
      <c r="C326" s="81"/>
      <c r="D326" s="81"/>
      <c r="E326" s="31"/>
      <c r="F326" s="63">
        <f t="shared" si="8"/>
        <v>0</v>
      </c>
      <c r="G326" s="82"/>
      <c r="H326" s="53">
        <f t="shared" si="9"/>
        <v>0</v>
      </c>
      <c r="I326" s="81"/>
    </row>
    <row r="327" spans="1:9" ht="18" customHeight="1">
      <c r="A327" s="79"/>
      <c r="B327" s="80"/>
      <c r="C327" s="81"/>
      <c r="D327" s="81"/>
      <c r="E327" s="31"/>
      <c r="F327" s="63">
        <f t="shared" ref="F327:F390" si="10">IFERROR(E327*$B$3,0)</f>
        <v>0</v>
      </c>
      <c r="G327" s="82"/>
      <c r="H327" s="53">
        <f t="shared" ref="H327:H390" si="11">IFERROR(E327+F327,0)</f>
        <v>0</v>
      </c>
      <c r="I327" s="81"/>
    </row>
    <row r="328" spans="1:9" ht="18" customHeight="1">
      <c r="A328" s="79"/>
      <c r="B328" s="80"/>
      <c r="C328" s="81"/>
      <c r="D328" s="81"/>
      <c r="E328" s="31"/>
      <c r="F328" s="63">
        <f t="shared" si="10"/>
        <v>0</v>
      </c>
      <c r="G328" s="82"/>
      <c r="H328" s="53">
        <f t="shared" si="11"/>
        <v>0</v>
      </c>
      <c r="I328" s="81"/>
    </row>
    <row r="329" spans="1:9" ht="18" customHeight="1">
      <c r="A329" s="79"/>
      <c r="B329" s="80"/>
      <c r="C329" s="81"/>
      <c r="D329" s="81"/>
      <c r="E329" s="31"/>
      <c r="F329" s="63">
        <f t="shared" si="10"/>
        <v>0</v>
      </c>
      <c r="G329" s="82"/>
      <c r="H329" s="53">
        <f t="shared" si="11"/>
        <v>0</v>
      </c>
      <c r="I329" s="81"/>
    </row>
    <row r="330" spans="1:9" ht="18" customHeight="1">
      <c r="A330" s="79"/>
      <c r="B330" s="80"/>
      <c r="C330" s="81"/>
      <c r="D330" s="81"/>
      <c r="E330" s="31"/>
      <c r="F330" s="63">
        <f t="shared" si="10"/>
        <v>0</v>
      </c>
      <c r="G330" s="82"/>
      <c r="H330" s="53">
        <f t="shared" si="11"/>
        <v>0</v>
      </c>
      <c r="I330" s="81"/>
    </row>
    <row r="331" spans="1:9" ht="18" customHeight="1">
      <c r="A331" s="79"/>
      <c r="B331" s="80"/>
      <c r="C331" s="81"/>
      <c r="D331" s="81"/>
      <c r="E331" s="31"/>
      <c r="F331" s="63">
        <f t="shared" si="10"/>
        <v>0</v>
      </c>
      <c r="G331" s="82"/>
      <c r="H331" s="53">
        <f t="shared" si="11"/>
        <v>0</v>
      </c>
      <c r="I331" s="81"/>
    </row>
    <row r="332" spans="1:9" ht="18" customHeight="1">
      <c r="A332" s="79"/>
      <c r="B332" s="80"/>
      <c r="C332" s="81"/>
      <c r="D332" s="81"/>
      <c r="E332" s="31"/>
      <c r="F332" s="63">
        <f t="shared" si="10"/>
        <v>0</v>
      </c>
      <c r="G332" s="82"/>
      <c r="H332" s="53">
        <f t="shared" si="11"/>
        <v>0</v>
      </c>
      <c r="I332" s="81"/>
    </row>
    <row r="333" spans="1:9" ht="18" customHeight="1">
      <c r="A333" s="79"/>
      <c r="B333" s="80"/>
      <c r="C333" s="81"/>
      <c r="D333" s="81"/>
      <c r="E333" s="31"/>
      <c r="F333" s="63">
        <f t="shared" si="10"/>
        <v>0</v>
      </c>
      <c r="G333" s="82"/>
      <c r="H333" s="53">
        <f t="shared" si="11"/>
        <v>0</v>
      </c>
      <c r="I333" s="81"/>
    </row>
    <row r="334" spans="1:9" ht="18" customHeight="1">
      <c r="A334" s="79"/>
      <c r="B334" s="80"/>
      <c r="C334" s="81"/>
      <c r="D334" s="81"/>
      <c r="E334" s="31"/>
      <c r="F334" s="63">
        <f t="shared" si="10"/>
        <v>0</v>
      </c>
      <c r="G334" s="82"/>
      <c r="H334" s="53">
        <f t="shared" si="11"/>
        <v>0</v>
      </c>
      <c r="I334" s="81"/>
    </row>
    <row r="335" spans="1:9" ht="18" customHeight="1">
      <c r="A335" s="79"/>
      <c r="B335" s="80"/>
      <c r="C335" s="81"/>
      <c r="D335" s="81"/>
      <c r="E335" s="31"/>
      <c r="F335" s="63">
        <f t="shared" si="10"/>
        <v>0</v>
      </c>
      <c r="G335" s="82"/>
      <c r="H335" s="53">
        <f t="shared" si="11"/>
        <v>0</v>
      </c>
      <c r="I335" s="81"/>
    </row>
    <row r="336" spans="1:9" ht="18" customHeight="1">
      <c r="A336" s="79"/>
      <c r="B336" s="80"/>
      <c r="C336" s="81"/>
      <c r="D336" s="81"/>
      <c r="E336" s="31"/>
      <c r="F336" s="63">
        <f t="shared" si="10"/>
        <v>0</v>
      </c>
      <c r="G336" s="82"/>
      <c r="H336" s="53">
        <f t="shared" si="11"/>
        <v>0</v>
      </c>
      <c r="I336" s="81"/>
    </row>
    <row r="337" spans="1:9" ht="18" customHeight="1">
      <c r="A337" s="79"/>
      <c r="B337" s="80"/>
      <c r="C337" s="81"/>
      <c r="D337" s="81"/>
      <c r="E337" s="31"/>
      <c r="F337" s="63">
        <f t="shared" si="10"/>
        <v>0</v>
      </c>
      <c r="G337" s="82"/>
      <c r="H337" s="53">
        <f t="shared" si="11"/>
        <v>0</v>
      </c>
      <c r="I337" s="81"/>
    </row>
    <row r="338" spans="1:9" ht="18" customHeight="1">
      <c r="A338" s="79"/>
      <c r="B338" s="80"/>
      <c r="C338" s="81"/>
      <c r="D338" s="81"/>
      <c r="E338" s="31"/>
      <c r="F338" s="63">
        <f t="shared" si="10"/>
        <v>0</v>
      </c>
      <c r="G338" s="82"/>
      <c r="H338" s="53">
        <f t="shared" si="11"/>
        <v>0</v>
      </c>
      <c r="I338" s="81"/>
    </row>
    <row r="339" spans="1:9" ht="18" customHeight="1">
      <c r="A339" s="79"/>
      <c r="B339" s="80"/>
      <c r="C339" s="81"/>
      <c r="D339" s="81"/>
      <c r="E339" s="31"/>
      <c r="F339" s="63">
        <f t="shared" si="10"/>
        <v>0</v>
      </c>
      <c r="G339" s="82"/>
      <c r="H339" s="53">
        <f t="shared" si="11"/>
        <v>0</v>
      </c>
      <c r="I339" s="81"/>
    </row>
    <row r="340" spans="1:9" ht="18" customHeight="1">
      <c r="A340" s="79"/>
      <c r="B340" s="80"/>
      <c r="C340" s="81"/>
      <c r="D340" s="81"/>
      <c r="E340" s="31"/>
      <c r="F340" s="63">
        <f t="shared" si="10"/>
        <v>0</v>
      </c>
      <c r="G340" s="82"/>
      <c r="H340" s="53">
        <f t="shared" si="11"/>
        <v>0</v>
      </c>
      <c r="I340" s="81"/>
    </row>
    <row r="341" spans="1:9" ht="18" customHeight="1">
      <c r="A341" s="79"/>
      <c r="B341" s="80"/>
      <c r="C341" s="81"/>
      <c r="D341" s="81"/>
      <c r="E341" s="31"/>
      <c r="F341" s="63">
        <f t="shared" si="10"/>
        <v>0</v>
      </c>
      <c r="G341" s="82"/>
      <c r="H341" s="53">
        <f t="shared" si="11"/>
        <v>0</v>
      </c>
      <c r="I341" s="81"/>
    </row>
    <row r="342" spans="1:9" ht="18" customHeight="1">
      <c r="A342" s="79"/>
      <c r="B342" s="80"/>
      <c r="C342" s="81"/>
      <c r="D342" s="81"/>
      <c r="E342" s="31"/>
      <c r="F342" s="63">
        <f t="shared" si="10"/>
        <v>0</v>
      </c>
      <c r="G342" s="82"/>
      <c r="H342" s="53">
        <f t="shared" si="11"/>
        <v>0</v>
      </c>
      <c r="I342" s="81"/>
    </row>
    <row r="343" spans="1:9" ht="18" customHeight="1">
      <c r="A343" s="79"/>
      <c r="B343" s="80"/>
      <c r="C343" s="81"/>
      <c r="D343" s="81"/>
      <c r="E343" s="31"/>
      <c r="F343" s="63">
        <f t="shared" si="10"/>
        <v>0</v>
      </c>
      <c r="G343" s="82"/>
      <c r="H343" s="53">
        <f t="shared" si="11"/>
        <v>0</v>
      </c>
      <c r="I343" s="81"/>
    </row>
    <row r="344" spans="1:9" ht="18" customHeight="1">
      <c r="A344" s="79"/>
      <c r="B344" s="80"/>
      <c r="C344" s="81"/>
      <c r="D344" s="81"/>
      <c r="E344" s="31"/>
      <c r="F344" s="63">
        <f t="shared" si="10"/>
        <v>0</v>
      </c>
      <c r="G344" s="82"/>
      <c r="H344" s="53">
        <f t="shared" si="11"/>
        <v>0</v>
      </c>
      <c r="I344" s="81"/>
    </row>
    <row r="345" spans="1:9" ht="18" customHeight="1">
      <c r="A345" s="79"/>
      <c r="B345" s="80"/>
      <c r="C345" s="81"/>
      <c r="D345" s="81"/>
      <c r="E345" s="31"/>
      <c r="F345" s="63">
        <f t="shared" si="10"/>
        <v>0</v>
      </c>
      <c r="G345" s="82"/>
      <c r="H345" s="53">
        <f t="shared" si="11"/>
        <v>0</v>
      </c>
      <c r="I345" s="81"/>
    </row>
    <row r="346" spans="1:9" ht="18" customHeight="1">
      <c r="A346" s="79"/>
      <c r="B346" s="80"/>
      <c r="C346" s="81"/>
      <c r="D346" s="81"/>
      <c r="E346" s="31"/>
      <c r="F346" s="63">
        <f t="shared" si="10"/>
        <v>0</v>
      </c>
      <c r="G346" s="82"/>
      <c r="H346" s="53">
        <f t="shared" si="11"/>
        <v>0</v>
      </c>
      <c r="I346" s="81"/>
    </row>
    <row r="347" spans="1:9" ht="18" customHeight="1">
      <c r="A347" s="79"/>
      <c r="B347" s="80"/>
      <c r="C347" s="81"/>
      <c r="D347" s="81"/>
      <c r="E347" s="31"/>
      <c r="F347" s="63">
        <f t="shared" si="10"/>
        <v>0</v>
      </c>
      <c r="G347" s="82"/>
      <c r="H347" s="53">
        <f t="shared" si="11"/>
        <v>0</v>
      </c>
      <c r="I347" s="81"/>
    </row>
    <row r="348" spans="1:9" ht="18" customHeight="1">
      <c r="A348" s="79"/>
      <c r="B348" s="80"/>
      <c r="C348" s="81"/>
      <c r="D348" s="81"/>
      <c r="E348" s="31"/>
      <c r="F348" s="63">
        <f t="shared" si="10"/>
        <v>0</v>
      </c>
      <c r="G348" s="82"/>
      <c r="H348" s="53">
        <f t="shared" si="11"/>
        <v>0</v>
      </c>
      <c r="I348" s="81"/>
    </row>
    <row r="349" spans="1:9" ht="18" customHeight="1">
      <c r="A349" s="79"/>
      <c r="B349" s="80"/>
      <c r="C349" s="81"/>
      <c r="D349" s="81"/>
      <c r="E349" s="31"/>
      <c r="F349" s="63">
        <f t="shared" si="10"/>
        <v>0</v>
      </c>
      <c r="G349" s="82"/>
      <c r="H349" s="53">
        <f t="shared" si="11"/>
        <v>0</v>
      </c>
      <c r="I349" s="81"/>
    </row>
    <row r="350" spans="1:9" ht="18" customHeight="1">
      <c r="A350" s="79"/>
      <c r="B350" s="80"/>
      <c r="C350" s="81"/>
      <c r="D350" s="81"/>
      <c r="E350" s="31"/>
      <c r="F350" s="63">
        <f t="shared" si="10"/>
        <v>0</v>
      </c>
      <c r="G350" s="82"/>
      <c r="H350" s="53">
        <f t="shared" si="11"/>
        <v>0</v>
      </c>
      <c r="I350" s="81"/>
    </row>
    <row r="351" spans="1:9" ht="18" customHeight="1">
      <c r="A351" s="79"/>
      <c r="B351" s="80"/>
      <c r="C351" s="81"/>
      <c r="D351" s="81"/>
      <c r="E351" s="31"/>
      <c r="F351" s="63">
        <f t="shared" si="10"/>
        <v>0</v>
      </c>
      <c r="G351" s="82"/>
      <c r="H351" s="53">
        <f t="shared" si="11"/>
        <v>0</v>
      </c>
      <c r="I351" s="81"/>
    </row>
    <row r="352" spans="1:9" ht="18" customHeight="1">
      <c r="A352" s="79"/>
      <c r="B352" s="80"/>
      <c r="C352" s="81"/>
      <c r="D352" s="81"/>
      <c r="E352" s="31"/>
      <c r="F352" s="63">
        <f t="shared" si="10"/>
        <v>0</v>
      </c>
      <c r="G352" s="82"/>
      <c r="H352" s="53">
        <f t="shared" si="11"/>
        <v>0</v>
      </c>
      <c r="I352" s="81"/>
    </row>
    <row r="353" spans="1:9" ht="18" customHeight="1">
      <c r="A353" s="79"/>
      <c r="B353" s="80"/>
      <c r="C353" s="81"/>
      <c r="D353" s="81"/>
      <c r="E353" s="31"/>
      <c r="F353" s="63">
        <f t="shared" si="10"/>
        <v>0</v>
      </c>
      <c r="G353" s="82"/>
      <c r="H353" s="53">
        <f t="shared" si="11"/>
        <v>0</v>
      </c>
      <c r="I353" s="81"/>
    </row>
    <row r="354" spans="1:9" ht="18" customHeight="1">
      <c r="A354" s="79"/>
      <c r="B354" s="80"/>
      <c r="C354" s="81"/>
      <c r="D354" s="81"/>
      <c r="E354" s="31"/>
      <c r="F354" s="63">
        <f t="shared" si="10"/>
        <v>0</v>
      </c>
      <c r="G354" s="82"/>
      <c r="H354" s="53">
        <f t="shared" si="11"/>
        <v>0</v>
      </c>
      <c r="I354" s="81"/>
    </row>
    <row r="355" spans="1:9" ht="18" customHeight="1">
      <c r="A355" s="79"/>
      <c r="B355" s="80"/>
      <c r="C355" s="81"/>
      <c r="D355" s="81"/>
      <c r="E355" s="31"/>
      <c r="F355" s="63">
        <f t="shared" si="10"/>
        <v>0</v>
      </c>
      <c r="G355" s="82"/>
      <c r="H355" s="53">
        <f t="shared" si="11"/>
        <v>0</v>
      </c>
      <c r="I355" s="81"/>
    </row>
    <row r="356" spans="1:9" ht="18" customHeight="1">
      <c r="A356" s="79"/>
      <c r="B356" s="80"/>
      <c r="C356" s="81"/>
      <c r="D356" s="81"/>
      <c r="E356" s="31"/>
      <c r="F356" s="63">
        <f t="shared" si="10"/>
        <v>0</v>
      </c>
      <c r="G356" s="82"/>
      <c r="H356" s="53">
        <f t="shared" si="11"/>
        <v>0</v>
      </c>
      <c r="I356" s="81"/>
    </row>
    <row r="357" spans="1:9" ht="18" customHeight="1">
      <c r="A357" s="79"/>
      <c r="B357" s="80"/>
      <c r="C357" s="81"/>
      <c r="D357" s="81"/>
      <c r="E357" s="31"/>
      <c r="F357" s="63">
        <f t="shared" si="10"/>
        <v>0</v>
      </c>
      <c r="G357" s="82"/>
      <c r="H357" s="53">
        <f t="shared" si="11"/>
        <v>0</v>
      </c>
      <c r="I357" s="81"/>
    </row>
    <row r="358" spans="1:9" ht="18" customHeight="1">
      <c r="A358" s="79"/>
      <c r="B358" s="80"/>
      <c r="C358" s="81"/>
      <c r="D358" s="81"/>
      <c r="E358" s="31"/>
      <c r="F358" s="63">
        <f t="shared" si="10"/>
        <v>0</v>
      </c>
      <c r="G358" s="82"/>
      <c r="H358" s="53">
        <f t="shared" si="11"/>
        <v>0</v>
      </c>
      <c r="I358" s="81"/>
    </row>
    <row r="359" spans="1:9" ht="18" customHeight="1">
      <c r="A359" s="79"/>
      <c r="B359" s="80"/>
      <c r="C359" s="81"/>
      <c r="D359" s="81"/>
      <c r="E359" s="31"/>
      <c r="F359" s="63">
        <f t="shared" si="10"/>
        <v>0</v>
      </c>
      <c r="G359" s="82"/>
      <c r="H359" s="53">
        <f t="shared" si="11"/>
        <v>0</v>
      </c>
      <c r="I359" s="81"/>
    </row>
    <row r="360" spans="1:9" ht="18" customHeight="1">
      <c r="A360" s="79"/>
      <c r="B360" s="80"/>
      <c r="C360" s="81"/>
      <c r="D360" s="81"/>
      <c r="E360" s="31"/>
      <c r="F360" s="63">
        <f t="shared" si="10"/>
        <v>0</v>
      </c>
      <c r="G360" s="82"/>
      <c r="H360" s="53">
        <f t="shared" si="11"/>
        <v>0</v>
      </c>
      <c r="I360" s="81"/>
    </row>
    <row r="361" spans="1:9" ht="18" customHeight="1">
      <c r="A361" s="79"/>
      <c r="B361" s="80"/>
      <c r="C361" s="81"/>
      <c r="D361" s="81"/>
      <c r="E361" s="31"/>
      <c r="F361" s="63">
        <f t="shared" si="10"/>
        <v>0</v>
      </c>
      <c r="G361" s="82"/>
      <c r="H361" s="53">
        <f t="shared" si="11"/>
        <v>0</v>
      </c>
      <c r="I361" s="81"/>
    </row>
    <row r="362" spans="1:9" ht="18" customHeight="1">
      <c r="A362" s="79"/>
      <c r="B362" s="80"/>
      <c r="C362" s="81"/>
      <c r="D362" s="81"/>
      <c r="E362" s="31"/>
      <c r="F362" s="63">
        <f t="shared" si="10"/>
        <v>0</v>
      </c>
      <c r="G362" s="82"/>
      <c r="H362" s="53">
        <f t="shared" si="11"/>
        <v>0</v>
      </c>
      <c r="I362" s="81"/>
    </row>
    <row r="363" spans="1:9" ht="18" customHeight="1">
      <c r="A363" s="79"/>
      <c r="B363" s="80"/>
      <c r="C363" s="81"/>
      <c r="D363" s="81"/>
      <c r="E363" s="31"/>
      <c r="F363" s="63">
        <f t="shared" si="10"/>
        <v>0</v>
      </c>
      <c r="G363" s="82"/>
      <c r="H363" s="53">
        <f t="shared" si="11"/>
        <v>0</v>
      </c>
      <c r="I363" s="81"/>
    </row>
    <row r="364" spans="1:9" ht="18" customHeight="1">
      <c r="A364" s="79"/>
      <c r="B364" s="80"/>
      <c r="C364" s="81"/>
      <c r="D364" s="81"/>
      <c r="E364" s="31"/>
      <c r="F364" s="63">
        <f t="shared" si="10"/>
        <v>0</v>
      </c>
      <c r="G364" s="82"/>
      <c r="H364" s="53">
        <f t="shared" si="11"/>
        <v>0</v>
      </c>
      <c r="I364" s="81"/>
    </row>
    <row r="365" spans="1:9" ht="18" customHeight="1">
      <c r="A365" s="79"/>
      <c r="B365" s="80"/>
      <c r="C365" s="81"/>
      <c r="D365" s="81"/>
      <c r="E365" s="31"/>
      <c r="F365" s="63">
        <f t="shared" si="10"/>
        <v>0</v>
      </c>
      <c r="G365" s="82"/>
      <c r="H365" s="53">
        <f t="shared" si="11"/>
        <v>0</v>
      </c>
      <c r="I365" s="81"/>
    </row>
    <row r="366" spans="1:9" ht="18" customHeight="1">
      <c r="A366" s="79"/>
      <c r="B366" s="80"/>
      <c r="C366" s="81"/>
      <c r="D366" s="81"/>
      <c r="E366" s="31"/>
      <c r="F366" s="63">
        <f t="shared" si="10"/>
        <v>0</v>
      </c>
      <c r="G366" s="82"/>
      <c r="H366" s="53">
        <f t="shared" si="11"/>
        <v>0</v>
      </c>
      <c r="I366" s="81"/>
    </row>
    <row r="367" spans="1:9" ht="18" customHeight="1">
      <c r="A367" s="79"/>
      <c r="B367" s="80"/>
      <c r="C367" s="81"/>
      <c r="D367" s="81"/>
      <c r="E367" s="31"/>
      <c r="F367" s="63">
        <f t="shared" si="10"/>
        <v>0</v>
      </c>
      <c r="G367" s="82"/>
      <c r="H367" s="53">
        <f t="shared" si="11"/>
        <v>0</v>
      </c>
      <c r="I367" s="81"/>
    </row>
    <row r="368" spans="1:9" ht="18" customHeight="1">
      <c r="A368" s="79"/>
      <c r="B368" s="80"/>
      <c r="C368" s="81"/>
      <c r="D368" s="81"/>
      <c r="E368" s="31"/>
      <c r="F368" s="63">
        <f t="shared" si="10"/>
        <v>0</v>
      </c>
      <c r="G368" s="82"/>
      <c r="H368" s="53">
        <f t="shared" si="11"/>
        <v>0</v>
      </c>
      <c r="I368" s="81"/>
    </row>
    <row r="369" spans="1:9" ht="18" customHeight="1">
      <c r="A369" s="79"/>
      <c r="B369" s="80"/>
      <c r="C369" s="81"/>
      <c r="D369" s="81"/>
      <c r="E369" s="31"/>
      <c r="F369" s="63">
        <f t="shared" si="10"/>
        <v>0</v>
      </c>
      <c r="G369" s="82"/>
      <c r="H369" s="53">
        <f t="shared" si="11"/>
        <v>0</v>
      </c>
      <c r="I369" s="81"/>
    </row>
    <row r="370" spans="1:9" ht="18" customHeight="1">
      <c r="A370" s="79"/>
      <c r="B370" s="80"/>
      <c r="C370" s="81"/>
      <c r="D370" s="81"/>
      <c r="E370" s="31"/>
      <c r="F370" s="63">
        <f t="shared" si="10"/>
        <v>0</v>
      </c>
      <c r="G370" s="82"/>
      <c r="H370" s="53">
        <f t="shared" si="11"/>
        <v>0</v>
      </c>
      <c r="I370" s="81"/>
    </row>
    <row r="371" spans="1:9" ht="18" customHeight="1">
      <c r="A371" s="79"/>
      <c r="B371" s="80"/>
      <c r="C371" s="81"/>
      <c r="D371" s="81"/>
      <c r="E371" s="31"/>
      <c r="F371" s="63">
        <f t="shared" si="10"/>
        <v>0</v>
      </c>
      <c r="G371" s="82"/>
      <c r="H371" s="53">
        <f t="shared" si="11"/>
        <v>0</v>
      </c>
      <c r="I371" s="81"/>
    </row>
    <row r="372" spans="1:9" ht="18" customHeight="1">
      <c r="A372" s="79"/>
      <c r="B372" s="80"/>
      <c r="C372" s="81"/>
      <c r="D372" s="81"/>
      <c r="E372" s="31"/>
      <c r="F372" s="63">
        <f t="shared" si="10"/>
        <v>0</v>
      </c>
      <c r="G372" s="82"/>
      <c r="H372" s="53">
        <f t="shared" si="11"/>
        <v>0</v>
      </c>
      <c r="I372" s="81"/>
    </row>
    <row r="373" spans="1:9" ht="18" customHeight="1">
      <c r="A373" s="79"/>
      <c r="B373" s="80"/>
      <c r="C373" s="81"/>
      <c r="D373" s="81"/>
      <c r="E373" s="31"/>
      <c r="F373" s="63">
        <f t="shared" si="10"/>
        <v>0</v>
      </c>
      <c r="G373" s="82"/>
      <c r="H373" s="53">
        <f t="shared" si="11"/>
        <v>0</v>
      </c>
      <c r="I373" s="81"/>
    </row>
    <row r="374" spans="1:9" ht="18" customHeight="1">
      <c r="A374" s="79"/>
      <c r="B374" s="80"/>
      <c r="C374" s="81"/>
      <c r="D374" s="81"/>
      <c r="E374" s="31"/>
      <c r="F374" s="63">
        <f t="shared" si="10"/>
        <v>0</v>
      </c>
      <c r="G374" s="82"/>
      <c r="H374" s="53">
        <f t="shared" si="11"/>
        <v>0</v>
      </c>
      <c r="I374" s="81"/>
    </row>
    <row r="375" spans="1:9" ht="18" customHeight="1">
      <c r="A375" s="79"/>
      <c r="B375" s="80"/>
      <c r="C375" s="81"/>
      <c r="D375" s="81"/>
      <c r="E375" s="31"/>
      <c r="F375" s="63">
        <f t="shared" si="10"/>
        <v>0</v>
      </c>
      <c r="G375" s="82"/>
      <c r="H375" s="53">
        <f t="shared" si="11"/>
        <v>0</v>
      </c>
      <c r="I375" s="81"/>
    </row>
    <row r="376" spans="1:9" ht="18" customHeight="1">
      <c r="A376" s="79"/>
      <c r="B376" s="80"/>
      <c r="C376" s="81"/>
      <c r="D376" s="81"/>
      <c r="E376" s="31"/>
      <c r="F376" s="63">
        <f t="shared" si="10"/>
        <v>0</v>
      </c>
      <c r="G376" s="82"/>
      <c r="H376" s="53">
        <f t="shared" si="11"/>
        <v>0</v>
      </c>
      <c r="I376" s="81"/>
    </row>
    <row r="377" spans="1:9" ht="18" customHeight="1">
      <c r="A377" s="79"/>
      <c r="B377" s="80"/>
      <c r="C377" s="81"/>
      <c r="D377" s="81"/>
      <c r="E377" s="31"/>
      <c r="F377" s="63">
        <f t="shared" si="10"/>
        <v>0</v>
      </c>
      <c r="G377" s="82"/>
      <c r="H377" s="53">
        <f t="shared" si="11"/>
        <v>0</v>
      </c>
      <c r="I377" s="81"/>
    </row>
    <row r="378" spans="1:9" ht="18" customHeight="1">
      <c r="A378" s="79"/>
      <c r="B378" s="80"/>
      <c r="C378" s="81"/>
      <c r="D378" s="81"/>
      <c r="E378" s="31"/>
      <c r="F378" s="63">
        <f t="shared" si="10"/>
        <v>0</v>
      </c>
      <c r="G378" s="82"/>
      <c r="H378" s="53">
        <f t="shared" si="11"/>
        <v>0</v>
      </c>
      <c r="I378" s="81"/>
    </row>
    <row r="379" spans="1:9" ht="18" customHeight="1">
      <c r="A379" s="79"/>
      <c r="B379" s="80"/>
      <c r="C379" s="81"/>
      <c r="D379" s="81"/>
      <c r="E379" s="31"/>
      <c r="F379" s="63">
        <f t="shared" si="10"/>
        <v>0</v>
      </c>
      <c r="G379" s="82"/>
      <c r="H379" s="53">
        <f t="shared" si="11"/>
        <v>0</v>
      </c>
      <c r="I379" s="81"/>
    </row>
    <row r="380" spans="1:9" ht="18" customHeight="1">
      <c r="A380" s="79"/>
      <c r="B380" s="80"/>
      <c r="C380" s="81"/>
      <c r="D380" s="81"/>
      <c r="E380" s="31"/>
      <c r="F380" s="63">
        <f t="shared" si="10"/>
        <v>0</v>
      </c>
      <c r="G380" s="82"/>
      <c r="H380" s="53">
        <f t="shared" si="11"/>
        <v>0</v>
      </c>
      <c r="I380" s="81"/>
    </row>
    <row r="381" spans="1:9" ht="18" customHeight="1">
      <c r="A381" s="79"/>
      <c r="B381" s="80"/>
      <c r="C381" s="81"/>
      <c r="D381" s="81"/>
      <c r="E381" s="31"/>
      <c r="F381" s="63">
        <f t="shared" si="10"/>
        <v>0</v>
      </c>
      <c r="G381" s="82"/>
      <c r="H381" s="53">
        <f t="shared" si="11"/>
        <v>0</v>
      </c>
      <c r="I381" s="81"/>
    </row>
    <row r="382" spans="1:9" ht="18" customHeight="1">
      <c r="A382" s="79"/>
      <c r="B382" s="80"/>
      <c r="C382" s="81"/>
      <c r="D382" s="81"/>
      <c r="E382" s="31"/>
      <c r="F382" s="63">
        <f t="shared" si="10"/>
        <v>0</v>
      </c>
      <c r="G382" s="82"/>
      <c r="H382" s="53">
        <f t="shared" si="11"/>
        <v>0</v>
      </c>
      <c r="I382" s="81"/>
    </row>
    <row r="383" spans="1:9" ht="18" customHeight="1">
      <c r="A383" s="79"/>
      <c r="B383" s="80"/>
      <c r="C383" s="81"/>
      <c r="D383" s="81"/>
      <c r="E383" s="31"/>
      <c r="F383" s="63">
        <f t="shared" si="10"/>
        <v>0</v>
      </c>
      <c r="G383" s="82"/>
      <c r="H383" s="53">
        <f t="shared" si="11"/>
        <v>0</v>
      </c>
      <c r="I383" s="81"/>
    </row>
    <row r="384" spans="1:9" ht="18" customHeight="1">
      <c r="A384" s="79"/>
      <c r="B384" s="80"/>
      <c r="C384" s="81"/>
      <c r="D384" s="81"/>
      <c r="E384" s="31"/>
      <c r="F384" s="63">
        <f t="shared" si="10"/>
        <v>0</v>
      </c>
      <c r="G384" s="82"/>
      <c r="H384" s="53">
        <f t="shared" si="11"/>
        <v>0</v>
      </c>
      <c r="I384" s="81"/>
    </row>
    <row r="385" spans="1:9" ht="18" customHeight="1">
      <c r="A385" s="79"/>
      <c r="B385" s="80"/>
      <c r="C385" s="81"/>
      <c r="D385" s="81"/>
      <c r="E385" s="31"/>
      <c r="F385" s="63">
        <f t="shared" si="10"/>
        <v>0</v>
      </c>
      <c r="G385" s="82"/>
      <c r="H385" s="53">
        <f t="shared" si="11"/>
        <v>0</v>
      </c>
      <c r="I385" s="81"/>
    </row>
    <row r="386" spans="1:9" ht="18" customHeight="1">
      <c r="A386" s="79"/>
      <c r="B386" s="80"/>
      <c r="C386" s="81"/>
      <c r="D386" s="81"/>
      <c r="E386" s="31"/>
      <c r="F386" s="63">
        <f t="shared" si="10"/>
        <v>0</v>
      </c>
      <c r="G386" s="82"/>
      <c r="H386" s="53">
        <f t="shared" si="11"/>
        <v>0</v>
      </c>
      <c r="I386" s="81"/>
    </row>
    <row r="387" spans="1:9" ht="18" customHeight="1">
      <c r="A387" s="79"/>
      <c r="B387" s="80"/>
      <c r="C387" s="81"/>
      <c r="D387" s="81"/>
      <c r="E387" s="31"/>
      <c r="F387" s="63">
        <f t="shared" si="10"/>
        <v>0</v>
      </c>
      <c r="G387" s="82"/>
      <c r="H387" s="53">
        <f t="shared" si="11"/>
        <v>0</v>
      </c>
      <c r="I387" s="81"/>
    </row>
    <row r="388" spans="1:9" ht="18" customHeight="1">
      <c r="A388" s="79"/>
      <c r="B388" s="80"/>
      <c r="C388" s="81"/>
      <c r="D388" s="81"/>
      <c r="E388" s="31"/>
      <c r="F388" s="63">
        <f t="shared" si="10"/>
        <v>0</v>
      </c>
      <c r="G388" s="82"/>
      <c r="H388" s="53">
        <f t="shared" si="11"/>
        <v>0</v>
      </c>
      <c r="I388" s="81"/>
    </row>
    <row r="389" spans="1:9" ht="18" customHeight="1">
      <c r="A389" s="79"/>
      <c r="B389" s="80"/>
      <c r="C389" s="81"/>
      <c r="D389" s="81"/>
      <c r="E389" s="31"/>
      <c r="F389" s="63">
        <f t="shared" si="10"/>
        <v>0</v>
      </c>
      <c r="G389" s="82"/>
      <c r="H389" s="53">
        <f t="shared" si="11"/>
        <v>0</v>
      </c>
      <c r="I389" s="81"/>
    </row>
    <row r="390" spans="1:9" ht="18" customHeight="1">
      <c r="A390" s="79"/>
      <c r="B390" s="80"/>
      <c r="C390" s="81"/>
      <c r="D390" s="81"/>
      <c r="E390" s="31"/>
      <c r="F390" s="63">
        <f t="shared" si="10"/>
        <v>0</v>
      </c>
      <c r="G390" s="82"/>
      <c r="H390" s="53">
        <f t="shared" si="11"/>
        <v>0</v>
      </c>
      <c r="I390" s="81"/>
    </row>
    <row r="391" spans="1:9" ht="18" customHeight="1">
      <c r="A391" s="79"/>
      <c r="B391" s="80"/>
      <c r="C391" s="81"/>
      <c r="D391" s="81"/>
      <c r="E391" s="31"/>
      <c r="F391" s="63">
        <f t="shared" ref="F391:F454" si="12">IFERROR(E391*$B$3,0)</f>
        <v>0</v>
      </c>
      <c r="G391" s="82"/>
      <c r="H391" s="53">
        <f t="shared" ref="H391:H454" si="13">IFERROR(E391+F391,0)</f>
        <v>0</v>
      </c>
      <c r="I391" s="81"/>
    </row>
    <row r="392" spans="1:9" ht="18" customHeight="1">
      <c r="A392" s="79"/>
      <c r="B392" s="80"/>
      <c r="C392" s="81"/>
      <c r="D392" s="81"/>
      <c r="E392" s="31"/>
      <c r="F392" s="63">
        <f t="shared" si="12"/>
        <v>0</v>
      </c>
      <c r="G392" s="82"/>
      <c r="H392" s="53">
        <f t="shared" si="13"/>
        <v>0</v>
      </c>
      <c r="I392" s="81"/>
    </row>
    <row r="393" spans="1:9" ht="18" customHeight="1">
      <c r="A393" s="79"/>
      <c r="B393" s="80"/>
      <c r="C393" s="81"/>
      <c r="D393" s="81"/>
      <c r="E393" s="31"/>
      <c r="F393" s="63">
        <f t="shared" si="12"/>
        <v>0</v>
      </c>
      <c r="G393" s="82"/>
      <c r="H393" s="53">
        <f t="shared" si="13"/>
        <v>0</v>
      </c>
      <c r="I393" s="81"/>
    </row>
    <row r="394" spans="1:9" ht="18" customHeight="1">
      <c r="A394" s="79"/>
      <c r="B394" s="80"/>
      <c r="C394" s="81"/>
      <c r="D394" s="81"/>
      <c r="E394" s="31"/>
      <c r="F394" s="63">
        <f t="shared" si="12"/>
        <v>0</v>
      </c>
      <c r="G394" s="82"/>
      <c r="H394" s="53">
        <f t="shared" si="13"/>
        <v>0</v>
      </c>
      <c r="I394" s="81"/>
    </row>
    <row r="395" spans="1:9" ht="18" customHeight="1">
      <c r="A395" s="79"/>
      <c r="B395" s="80"/>
      <c r="C395" s="81"/>
      <c r="D395" s="81"/>
      <c r="E395" s="31"/>
      <c r="F395" s="63">
        <f t="shared" si="12"/>
        <v>0</v>
      </c>
      <c r="G395" s="82"/>
      <c r="H395" s="53">
        <f t="shared" si="13"/>
        <v>0</v>
      </c>
      <c r="I395" s="81"/>
    </row>
    <row r="396" spans="1:9" ht="18" customHeight="1">
      <c r="A396" s="79"/>
      <c r="B396" s="80"/>
      <c r="C396" s="81"/>
      <c r="D396" s="81"/>
      <c r="E396" s="31"/>
      <c r="F396" s="63">
        <f t="shared" si="12"/>
        <v>0</v>
      </c>
      <c r="G396" s="82"/>
      <c r="H396" s="53">
        <f t="shared" si="13"/>
        <v>0</v>
      </c>
      <c r="I396" s="81"/>
    </row>
    <row r="397" spans="1:9" ht="18" customHeight="1">
      <c r="A397" s="79"/>
      <c r="B397" s="80"/>
      <c r="C397" s="81"/>
      <c r="D397" s="81"/>
      <c r="E397" s="31"/>
      <c r="F397" s="63">
        <f t="shared" si="12"/>
        <v>0</v>
      </c>
      <c r="G397" s="82"/>
      <c r="H397" s="53">
        <f t="shared" si="13"/>
        <v>0</v>
      </c>
      <c r="I397" s="81"/>
    </row>
    <row r="398" spans="1:9" ht="18" customHeight="1">
      <c r="A398" s="79"/>
      <c r="B398" s="80"/>
      <c r="C398" s="81"/>
      <c r="D398" s="81"/>
      <c r="E398" s="31"/>
      <c r="F398" s="63">
        <f t="shared" si="12"/>
        <v>0</v>
      </c>
      <c r="G398" s="82"/>
      <c r="H398" s="53">
        <f t="shared" si="13"/>
        <v>0</v>
      </c>
      <c r="I398" s="81"/>
    </row>
    <row r="399" spans="1:9" ht="18" customHeight="1">
      <c r="A399" s="79"/>
      <c r="B399" s="80"/>
      <c r="C399" s="81"/>
      <c r="D399" s="81"/>
      <c r="E399" s="31"/>
      <c r="F399" s="63">
        <f t="shared" si="12"/>
        <v>0</v>
      </c>
      <c r="G399" s="82"/>
      <c r="H399" s="53">
        <f t="shared" si="13"/>
        <v>0</v>
      </c>
      <c r="I399" s="81"/>
    </row>
    <row r="400" spans="1:9" ht="18" customHeight="1">
      <c r="A400" s="79"/>
      <c r="B400" s="80"/>
      <c r="C400" s="81"/>
      <c r="D400" s="81"/>
      <c r="E400" s="31"/>
      <c r="F400" s="63">
        <f t="shared" si="12"/>
        <v>0</v>
      </c>
      <c r="G400" s="82"/>
      <c r="H400" s="53">
        <f t="shared" si="13"/>
        <v>0</v>
      </c>
      <c r="I400" s="81"/>
    </row>
    <row r="401" spans="1:9" ht="18" customHeight="1">
      <c r="A401" s="79"/>
      <c r="B401" s="80"/>
      <c r="C401" s="81"/>
      <c r="D401" s="81"/>
      <c r="E401" s="31"/>
      <c r="F401" s="63">
        <f t="shared" si="12"/>
        <v>0</v>
      </c>
      <c r="G401" s="82"/>
      <c r="H401" s="53">
        <f t="shared" si="13"/>
        <v>0</v>
      </c>
      <c r="I401" s="81"/>
    </row>
    <row r="402" spans="1:9" ht="18" customHeight="1">
      <c r="A402" s="79"/>
      <c r="B402" s="80"/>
      <c r="C402" s="81"/>
      <c r="D402" s="81"/>
      <c r="E402" s="31"/>
      <c r="F402" s="63">
        <f t="shared" si="12"/>
        <v>0</v>
      </c>
      <c r="G402" s="82"/>
      <c r="H402" s="53">
        <f t="shared" si="13"/>
        <v>0</v>
      </c>
      <c r="I402" s="81"/>
    </row>
    <row r="403" spans="1:9" ht="18" customHeight="1">
      <c r="A403" s="79"/>
      <c r="B403" s="80"/>
      <c r="C403" s="81"/>
      <c r="D403" s="81"/>
      <c r="E403" s="31"/>
      <c r="F403" s="63">
        <f t="shared" si="12"/>
        <v>0</v>
      </c>
      <c r="G403" s="82"/>
      <c r="H403" s="53">
        <f t="shared" si="13"/>
        <v>0</v>
      </c>
      <c r="I403" s="81"/>
    </row>
    <row r="404" spans="1:9" ht="18" customHeight="1">
      <c r="A404" s="79"/>
      <c r="B404" s="80"/>
      <c r="C404" s="81"/>
      <c r="D404" s="81"/>
      <c r="E404" s="31"/>
      <c r="F404" s="63">
        <f t="shared" si="12"/>
        <v>0</v>
      </c>
      <c r="G404" s="82"/>
      <c r="H404" s="53">
        <f t="shared" si="13"/>
        <v>0</v>
      </c>
      <c r="I404" s="81"/>
    </row>
    <row r="405" spans="1:9" ht="18" customHeight="1">
      <c r="A405" s="79"/>
      <c r="B405" s="80"/>
      <c r="C405" s="81"/>
      <c r="D405" s="81"/>
      <c r="E405" s="31"/>
      <c r="F405" s="63">
        <f t="shared" si="12"/>
        <v>0</v>
      </c>
      <c r="G405" s="82"/>
      <c r="H405" s="53">
        <f t="shared" si="13"/>
        <v>0</v>
      </c>
      <c r="I405" s="81"/>
    </row>
    <row r="406" spans="1:9" ht="18" customHeight="1">
      <c r="A406" s="79"/>
      <c r="B406" s="80"/>
      <c r="C406" s="81"/>
      <c r="D406" s="81"/>
      <c r="E406" s="31"/>
      <c r="F406" s="63">
        <f t="shared" si="12"/>
        <v>0</v>
      </c>
      <c r="G406" s="82"/>
      <c r="H406" s="53">
        <f t="shared" si="13"/>
        <v>0</v>
      </c>
      <c r="I406" s="81"/>
    </row>
    <row r="407" spans="1:9" ht="18" customHeight="1">
      <c r="A407" s="79"/>
      <c r="B407" s="80"/>
      <c r="C407" s="81"/>
      <c r="D407" s="81"/>
      <c r="E407" s="31"/>
      <c r="F407" s="63">
        <f t="shared" si="12"/>
        <v>0</v>
      </c>
      <c r="G407" s="82"/>
      <c r="H407" s="53">
        <f t="shared" si="13"/>
        <v>0</v>
      </c>
      <c r="I407" s="81"/>
    </row>
    <row r="408" spans="1:9" ht="18" customHeight="1">
      <c r="A408" s="79"/>
      <c r="B408" s="80"/>
      <c r="C408" s="81"/>
      <c r="D408" s="81"/>
      <c r="E408" s="31"/>
      <c r="F408" s="63">
        <f t="shared" si="12"/>
        <v>0</v>
      </c>
      <c r="G408" s="82"/>
      <c r="H408" s="53">
        <f t="shared" si="13"/>
        <v>0</v>
      </c>
      <c r="I408" s="81"/>
    </row>
    <row r="409" spans="1:9" ht="18" customHeight="1">
      <c r="A409" s="79"/>
      <c r="B409" s="80"/>
      <c r="C409" s="81"/>
      <c r="D409" s="81"/>
      <c r="E409" s="31"/>
      <c r="F409" s="63">
        <f t="shared" si="12"/>
        <v>0</v>
      </c>
      <c r="G409" s="82"/>
      <c r="H409" s="53">
        <f t="shared" si="13"/>
        <v>0</v>
      </c>
      <c r="I409" s="81"/>
    </row>
    <row r="410" spans="1:9" ht="18" customHeight="1">
      <c r="A410" s="79"/>
      <c r="B410" s="80"/>
      <c r="C410" s="81"/>
      <c r="D410" s="81"/>
      <c r="E410" s="31"/>
      <c r="F410" s="63">
        <f t="shared" si="12"/>
        <v>0</v>
      </c>
      <c r="G410" s="82"/>
      <c r="H410" s="53">
        <f t="shared" si="13"/>
        <v>0</v>
      </c>
      <c r="I410" s="81"/>
    </row>
    <row r="411" spans="1:9" ht="18" customHeight="1">
      <c r="A411" s="79"/>
      <c r="B411" s="80"/>
      <c r="C411" s="81"/>
      <c r="D411" s="81"/>
      <c r="E411" s="31"/>
      <c r="F411" s="63">
        <f t="shared" si="12"/>
        <v>0</v>
      </c>
      <c r="G411" s="82"/>
      <c r="H411" s="53">
        <f t="shared" si="13"/>
        <v>0</v>
      </c>
      <c r="I411" s="81"/>
    </row>
    <row r="412" spans="1:9" ht="18" customHeight="1">
      <c r="A412" s="79"/>
      <c r="B412" s="80"/>
      <c r="C412" s="81"/>
      <c r="D412" s="81"/>
      <c r="E412" s="31"/>
      <c r="F412" s="63">
        <f t="shared" si="12"/>
        <v>0</v>
      </c>
      <c r="G412" s="82"/>
      <c r="H412" s="53">
        <f t="shared" si="13"/>
        <v>0</v>
      </c>
      <c r="I412" s="81"/>
    </row>
    <row r="413" spans="1:9" ht="18" customHeight="1">
      <c r="A413" s="79"/>
      <c r="B413" s="80"/>
      <c r="C413" s="81"/>
      <c r="D413" s="81"/>
      <c r="E413" s="31"/>
      <c r="F413" s="63">
        <f t="shared" si="12"/>
        <v>0</v>
      </c>
      <c r="G413" s="82"/>
      <c r="H413" s="53">
        <f t="shared" si="13"/>
        <v>0</v>
      </c>
      <c r="I413" s="81"/>
    </row>
    <row r="414" spans="1:9" ht="18" customHeight="1">
      <c r="A414" s="79"/>
      <c r="B414" s="80"/>
      <c r="C414" s="81"/>
      <c r="D414" s="81"/>
      <c r="E414" s="31"/>
      <c r="F414" s="63">
        <f t="shared" si="12"/>
        <v>0</v>
      </c>
      <c r="G414" s="82"/>
      <c r="H414" s="53">
        <f t="shared" si="13"/>
        <v>0</v>
      </c>
      <c r="I414" s="81"/>
    </row>
    <row r="415" spans="1:9" ht="18" customHeight="1">
      <c r="A415" s="79"/>
      <c r="B415" s="80"/>
      <c r="C415" s="81"/>
      <c r="D415" s="81"/>
      <c r="E415" s="31"/>
      <c r="F415" s="63">
        <f t="shared" si="12"/>
        <v>0</v>
      </c>
      <c r="G415" s="82"/>
      <c r="H415" s="53">
        <f t="shared" si="13"/>
        <v>0</v>
      </c>
      <c r="I415" s="81"/>
    </row>
    <row r="416" spans="1:9" ht="18" customHeight="1">
      <c r="A416" s="79"/>
      <c r="B416" s="80"/>
      <c r="C416" s="81"/>
      <c r="D416" s="81"/>
      <c r="E416" s="31"/>
      <c r="F416" s="63">
        <f t="shared" si="12"/>
        <v>0</v>
      </c>
      <c r="G416" s="82"/>
      <c r="H416" s="53">
        <f t="shared" si="13"/>
        <v>0</v>
      </c>
      <c r="I416" s="81"/>
    </row>
    <row r="417" spans="1:9" ht="18" customHeight="1">
      <c r="A417" s="79"/>
      <c r="B417" s="80"/>
      <c r="C417" s="81"/>
      <c r="D417" s="81"/>
      <c r="E417" s="31"/>
      <c r="F417" s="63">
        <f t="shared" si="12"/>
        <v>0</v>
      </c>
      <c r="G417" s="82"/>
      <c r="H417" s="53">
        <f t="shared" si="13"/>
        <v>0</v>
      </c>
      <c r="I417" s="81"/>
    </row>
    <row r="418" spans="1:9" ht="18" customHeight="1">
      <c r="A418" s="79"/>
      <c r="B418" s="80"/>
      <c r="C418" s="81"/>
      <c r="D418" s="81"/>
      <c r="E418" s="31"/>
      <c r="F418" s="63">
        <f t="shared" si="12"/>
        <v>0</v>
      </c>
      <c r="G418" s="82"/>
      <c r="H418" s="53">
        <f t="shared" si="13"/>
        <v>0</v>
      </c>
      <c r="I418" s="81"/>
    </row>
    <row r="419" spans="1:9" ht="18" customHeight="1">
      <c r="A419" s="79"/>
      <c r="B419" s="80"/>
      <c r="C419" s="81"/>
      <c r="D419" s="81"/>
      <c r="E419" s="31"/>
      <c r="F419" s="63">
        <f t="shared" si="12"/>
        <v>0</v>
      </c>
      <c r="G419" s="82"/>
      <c r="H419" s="53">
        <f t="shared" si="13"/>
        <v>0</v>
      </c>
      <c r="I419" s="81"/>
    </row>
    <row r="420" spans="1:9" ht="18" customHeight="1">
      <c r="A420" s="79"/>
      <c r="B420" s="80"/>
      <c r="C420" s="81"/>
      <c r="D420" s="81"/>
      <c r="E420" s="31"/>
      <c r="F420" s="63">
        <f t="shared" si="12"/>
        <v>0</v>
      </c>
      <c r="G420" s="82"/>
      <c r="H420" s="53">
        <f t="shared" si="13"/>
        <v>0</v>
      </c>
      <c r="I420" s="81"/>
    </row>
    <row r="421" spans="1:9" ht="18" customHeight="1">
      <c r="A421" s="79"/>
      <c r="B421" s="80"/>
      <c r="C421" s="81"/>
      <c r="D421" s="81"/>
      <c r="E421" s="31"/>
      <c r="F421" s="63">
        <f t="shared" si="12"/>
        <v>0</v>
      </c>
      <c r="G421" s="82"/>
      <c r="H421" s="53">
        <f t="shared" si="13"/>
        <v>0</v>
      </c>
      <c r="I421" s="81"/>
    </row>
    <row r="422" spans="1:9" ht="18" customHeight="1">
      <c r="A422" s="79"/>
      <c r="B422" s="80"/>
      <c r="C422" s="81"/>
      <c r="D422" s="81"/>
      <c r="E422" s="31"/>
      <c r="F422" s="63">
        <f t="shared" si="12"/>
        <v>0</v>
      </c>
      <c r="G422" s="82"/>
      <c r="H422" s="53">
        <f t="shared" si="13"/>
        <v>0</v>
      </c>
      <c r="I422" s="81"/>
    </row>
    <row r="423" spans="1:9" ht="18" customHeight="1">
      <c r="A423" s="79"/>
      <c r="B423" s="80"/>
      <c r="C423" s="81"/>
      <c r="D423" s="81"/>
      <c r="E423" s="31"/>
      <c r="F423" s="63">
        <f t="shared" si="12"/>
        <v>0</v>
      </c>
      <c r="G423" s="82"/>
      <c r="H423" s="53">
        <f t="shared" si="13"/>
        <v>0</v>
      </c>
      <c r="I423" s="81"/>
    </row>
    <row r="424" spans="1:9" ht="18" customHeight="1">
      <c r="A424" s="79"/>
      <c r="B424" s="80"/>
      <c r="C424" s="81"/>
      <c r="D424" s="81"/>
      <c r="E424" s="31"/>
      <c r="F424" s="63">
        <f t="shared" si="12"/>
        <v>0</v>
      </c>
      <c r="G424" s="82"/>
      <c r="H424" s="53">
        <f t="shared" si="13"/>
        <v>0</v>
      </c>
      <c r="I424" s="81"/>
    </row>
    <row r="425" spans="1:9" ht="18" customHeight="1">
      <c r="A425" s="79"/>
      <c r="B425" s="80"/>
      <c r="C425" s="81"/>
      <c r="D425" s="81"/>
      <c r="E425" s="31"/>
      <c r="F425" s="63">
        <f t="shared" si="12"/>
        <v>0</v>
      </c>
      <c r="G425" s="82"/>
      <c r="H425" s="53">
        <f t="shared" si="13"/>
        <v>0</v>
      </c>
      <c r="I425" s="81"/>
    </row>
    <row r="426" spans="1:9" ht="18" customHeight="1">
      <c r="A426" s="79"/>
      <c r="B426" s="80"/>
      <c r="C426" s="81"/>
      <c r="D426" s="81"/>
      <c r="E426" s="31"/>
      <c r="F426" s="63">
        <f t="shared" si="12"/>
        <v>0</v>
      </c>
      <c r="G426" s="82"/>
      <c r="H426" s="53">
        <f t="shared" si="13"/>
        <v>0</v>
      </c>
      <c r="I426" s="81"/>
    </row>
    <row r="427" spans="1:9" ht="18" customHeight="1">
      <c r="A427" s="79"/>
      <c r="B427" s="80"/>
      <c r="C427" s="81"/>
      <c r="D427" s="81"/>
      <c r="E427" s="31"/>
      <c r="F427" s="63">
        <f t="shared" si="12"/>
        <v>0</v>
      </c>
      <c r="G427" s="82"/>
      <c r="H427" s="53">
        <f t="shared" si="13"/>
        <v>0</v>
      </c>
      <c r="I427" s="81"/>
    </row>
    <row r="428" spans="1:9" ht="18" customHeight="1">
      <c r="A428" s="79"/>
      <c r="B428" s="80"/>
      <c r="C428" s="81"/>
      <c r="D428" s="81"/>
      <c r="E428" s="31"/>
      <c r="F428" s="63">
        <f t="shared" si="12"/>
        <v>0</v>
      </c>
      <c r="G428" s="82"/>
      <c r="H428" s="53">
        <f t="shared" si="13"/>
        <v>0</v>
      </c>
      <c r="I428" s="81"/>
    </row>
    <row r="429" spans="1:9" ht="18" customHeight="1">
      <c r="A429" s="79"/>
      <c r="B429" s="80"/>
      <c r="C429" s="81"/>
      <c r="D429" s="81"/>
      <c r="E429" s="31"/>
      <c r="F429" s="63">
        <f t="shared" si="12"/>
        <v>0</v>
      </c>
      <c r="G429" s="82"/>
      <c r="H429" s="53">
        <f t="shared" si="13"/>
        <v>0</v>
      </c>
      <c r="I429" s="81"/>
    </row>
    <row r="430" spans="1:9" ht="18" customHeight="1">
      <c r="A430" s="79"/>
      <c r="B430" s="80"/>
      <c r="C430" s="81"/>
      <c r="D430" s="81"/>
      <c r="E430" s="31"/>
      <c r="F430" s="63">
        <f t="shared" si="12"/>
        <v>0</v>
      </c>
      <c r="G430" s="82"/>
      <c r="H430" s="53">
        <f t="shared" si="13"/>
        <v>0</v>
      </c>
      <c r="I430" s="81"/>
    </row>
    <row r="431" spans="1:9" ht="18" customHeight="1">
      <c r="A431" s="79"/>
      <c r="B431" s="80"/>
      <c r="C431" s="81"/>
      <c r="D431" s="81"/>
      <c r="E431" s="31"/>
      <c r="F431" s="63">
        <f t="shared" si="12"/>
        <v>0</v>
      </c>
      <c r="G431" s="82"/>
      <c r="H431" s="53">
        <f t="shared" si="13"/>
        <v>0</v>
      </c>
      <c r="I431" s="81"/>
    </row>
    <row r="432" spans="1:9" ht="18" customHeight="1">
      <c r="A432" s="79"/>
      <c r="B432" s="80"/>
      <c r="C432" s="81"/>
      <c r="D432" s="81"/>
      <c r="E432" s="31"/>
      <c r="F432" s="63">
        <f t="shared" si="12"/>
        <v>0</v>
      </c>
      <c r="G432" s="82"/>
      <c r="H432" s="53">
        <f t="shared" si="13"/>
        <v>0</v>
      </c>
      <c r="I432" s="81"/>
    </row>
    <row r="433" spans="1:9" ht="18" customHeight="1">
      <c r="A433" s="79"/>
      <c r="B433" s="80"/>
      <c r="C433" s="81"/>
      <c r="D433" s="81"/>
      <c r="E433" s="31"/>
      <c r="F433" s="63">
        <f t="shared" si="12"/>
        <v>0</v>
      </c>
      <c r="G433" s="82"/>
      <c r="H433" s="53">
        <f t="shared" si="13"/>
        <v>0</v>
      </c>
      <c r="I433" s="81"/>
    </row>
    <row r="434" spans="1:9" ht="18" customHeight="1">
      <c r="A434" s="79"/>
      <c r="B434" s="80"/>
      <c r="C434" s="81"/>
      <c r="D434" s="81"/>
      <c r="E434" s="31"/>
      <c r="F434" s="63">
        <f t="shared" si="12"/>
        <v>0</v>
      </c>
      <c r="G434" s="82"/>
      <c r="H434" s="53">
        <f t="shared" si="13"/>
        <v>0</v>
      </c>
      <c r="I434" s="81"/>
    </row>
    <row r="435" spans="1:9" ht="18" customHeight="1">
      <c r="A435" s="79"/>
      <c r="B435" s="80"/>
      <c r="C435" s="81"/>
      <c r="D435" s="81"/>
      <c r="E435" s="31"/>
      <c r="F435" s="63">
        <f t="shared" si="12"/>
        <v>0</v>
      </c>
      <c r="G435" s="82"/>
      <c r="H435" s="53">
        <f t="shared" si="13"/>
        <v>0</v>
      </c>
      <c r="I435" s="81"/>
    </row>
    <row r="436" spans="1:9" ht="18" customHeight="1">
      <c r="A436" s="79"/>
      <c r="B436" s="80"/>
      <c r="C436" s="81"/>
      <c r="D436" s="81"/>
      <c r="E436" s="31"/>
      <c r="F436" s="63">
        <f t="shared" si="12"/>
        <v>0</v>
      </c>
      <c r="G436" s="82"/>
      <c r="H436" s="53">
        <f t="shared" si="13"/>
        <v>0</v>
      </c>
      <c r="I436" s="81"/>
    </row>
    <row r="437" spans="1:9" ht="18" customHeight="1">
      <c r="A437" s="79"/>
      <c r="B437" s="80"/>
      <c r="C437" s="81"/>
      <c r="D437" s="81"/>
      <c r="E437" s="31"/>
      <c r="F437" s="63">
        <f t="shared" si="12"/>
        <v>0</v>
      </c>
      <c r="G437" s="82"/>
      <c r="H437" s="53">
        <f t="shared" si="13"/>
        <v>0</v>
      </c>
      <c r="I437" s="81"/>
    </row>
    <row r="438" spans="1:9" ht="18" customHeight="1">
      <c r="A438" s="79"/>
      <c r="B438" s="80"/>
      <c r="C438" s="81"/>
      <c r="D438" s="81"/>
      <c r="E438" s="31"/>
      <c r="F438" s="63">
        <f t="shared" si="12"/>
        <v>0</v>
      </c>
      <c r="G438" s="82"/>
      <c r="H438" s="53">
        <f t="shared" si="13"/>
        <v>0</v>
      </c>
      <c r="I438" s="81"/>
    </row>
    <row r="439" spans="1:9" ht="18" customHeight="1">
      <c r="A439" s="79"/>
      <c r="B439" s="80"/>
      <c r="C439" s="81"/>
      <c r="D439" s="81"/>
      <c r="E439" s="31"/>
      <c r="F439" s="63">
        <f t="shared" si="12"/>
        <v>0</v>
      </c>
      <c r="G439" s="82"/>
      <c r="H439" s="53">
        <f t="shared" si="13"/>
        <v>0</v>
      </c>
      <c r="I439" s="81"/>
    </row>
    <row r="440" spans="1:9" ht="18" customHeight="1">
      <c r="A440" s="79"/>
      <c r="B440" s="80"/>
      <c r="C440" s="81"/>
      <c r="D440" s="81"/>
      <c r="E440" s="31"/>
      <c r="F440" s="63">
        <f t="shared" si="12"/>
        <v>0</v>
      </c>
      <c r="G440" s="82"/>
      <c r="H440" s="53">
        <f t="shared" si="13"/>
        <v>0</v>
      </c>
      <c r="I440" s="81"/>
    </row>
    <row r="441" spans="1:9" ht="18" customHeight="1">
      <c r="A441" s="79"/>
      <c r="B441" s="80"/>
      <c r="C441" s="81"/>
      <c r="D441" s="81"/>
      <c r="E441" s="31"/>
      <c r="F441" s="63">
        <f t="shared" si="12"/>
        <v>0</v>
      </c>
      <c r="G441" s="82"/>
      <c r="H441" s="53">
        <f t="shared" si="13"/>
        <v>0</v>
      </c>
      <c r="I441" s="81"/>
    </row>
    <row r="442" spans="1:9" ht="18" customHeight="1">
      <c r="A442" s="79"/>
      <c r="B442" s="80"/>
      <c r="C442" s="81"/>
      <c r="D442" s="81"/>
      <c r="E442" s="31"/>
      <c r="F442" s="63">
        <f t="shared" si="12"/>
        <v>0</v>
      </c>
      <c r="G442" s="82"/>
      <c r="H442" s="53">
        <f t="shared" si="13"/>
        <v>0</v>
      </c>
      <c r="I442" s="81"/>
    </row>
    <row r="443" spans="1:9" ht="18" customHeight="1">
      <c r="A443" s="79"/>
      <c r="B443" s="80"/>
      <c r="C443" s="81"/>
      <c r="D443" s="81"/>
      <c r="E443" s="31"/>
      <c r="F443" s="63">
        <f t="shared" si="12"/>
        <v>0</v>
      </c>
      <c r="G443" s="82"/>
      <c r="H443" s="53">
        <f t="shared" si="13"/>
        <v>0</v>
      </c>
      <c r="I443" s="81"/>
    </row>
    <row r="444" spans="1:9" ht="18" customHeight="1">
      <c r="A444" s="79"/>
      <c r="B444" s="80"/>
      <c r="C444" s="81"/>
      <c r="D444" s="81"/>
      <c r="E444" s="31"/>
      <c r="F444" s="63">
        <f t="shared" si="12"/>
        <v>0</v>
      </c>
      <c r="G444" s="82"/>
      <c r="H444" s="53">
        <f t="shared" si="13"/>
        <v>0</v>
      </c>
      <c r="I444" s="81"/>
    </row>
    <row r="445" spans="1:9" ht="18" customHeight="1">
      <c r="A445" s="79"/>
      <c r="B445" s="80"/>
      <c r="C445" s="81"/>
      <c r="D445" s="81"/>
      <c r="E445" s="31"/>
      <c r="F445" s="63">
        <f t="shared" si="12"/>
        <v>0</v>
      </c>
      <c r="G445" s="82"/>
      <c r="H445" s="53">
        <f t="shared" si="13"/>
        <v>0</v>
      </c>
      <c r="I445" s="81"/>
    </row>
    <row r="446" spans="1:9" ht="18" customHeight="1">
      <c r="A446" s="79"/>
      <c r="B446" s="80"/>
      <c r="C446" s="81"/>
      <c r="D446" s="81"/>
      <c r="E446" s="31"/>
      <c r="F446" s="63">
        <f t="shared" si="12"/>
        <v>0</v>
      </c>
      <c r="G446" s="82"/>
      <c r="H446" s="53">
        <f t="shared" si="13"/>
        <v>0</v>
      </c>
      <c r="I446" s="81"/>
    </row>
    <row r="447" spans="1:9" ht="18" customHeight="1">
      <c r="A447" s="79"/>
      <c r="B447" s="80"/>
      <c r="C447" s="81"/>
      <c r="D447" s="81"/>
      <c r="E447" s="31"/>
      <c r="F447" s="63">
        <f t="shared" si="12"/>
        <v>0</v>
      </c>
      <c r="G447" s="82"/>
      <c r="H447" s="53">
        <f t="shared" si="13"/>
        <v>0</v>
      </c>
      <c r="I447" s="81"/>
    </row>
    <row r="448" spans="1:9" ht="18" customHeight="1">
      <c r="A448" s="79"/>
      <c r="B448" s="80"/>
      <c r="C448" s="81"/>
      <c r="D448" s="81"/>
      <c r="E448" s="31"/>
      <c r="F448" s="63">
        <f t="shared" si="12"/>
        <v>0</v>
      </c>
      <c r="G448" s="82"/>
      <c r="H448" s="53">
        <f t="shared" si="13"/>
        <v>0</v>
      </c>
      <c r="I448" s="81"/>
    </row>
    <row r="449" spans="1:9" ht="18" customHeight="1">
      <c r="A449" s="79"/>
      <c r="B449" s="80"/>
      <c r="C449" s="81"/>
      <c r="D449" s="81"/>
      <c r="E449" s="31"/>
      <c r="F449" s="63">
        <f t="shared" si="12"/>
        <v>0</v>
      </c>
      <c r="G449" s="82"/>
      <c r="H449" s="53">
        <f t="shared" si="13"/>
        <v>0</v>
      </c>
      <c r="I449" s="81"/>
    </row>
    <row r="450" spans="1:9" ht="18" customHeight="1">
      <c r="A450" s="79"/>
      <c r="B450" s="80"/>
      <c r="C450" s="81"/>
      <c r="D450" s="81"/>
      <c r="E450" s="31"/>
      <c r="F450" s="63">
        <f t="shared" si="12"/>
        <v>0</v>
      </c>
      <c r="G450" s="82"/>
      <c r="H450" s="53">
        <f t="shared" si="13"/>
        <v>0</v>
      </c>
      <c r="I450" s="81"/>
    </row>
    <row r="451" spans="1:9" ht="18" customHeight="1">
      <c r="A451" s="79"/>
      <c r="B451" s="80"/>
      <c r="C451" s="81"/>
      <c r="D451" s="81"/>
      <c r="E451" s="31"/>
      <c r="F451" s="63">
        <f t="shared" si="12"/>
        <v>0</v>
      </c>
      <c r="G451" s="82"/>
      <c r="H451" s="53">
        <f t="shared" si="13"/>
        <v>0</v>
      </c>
      <c r="I451" s="81"/>
    </row>
    <row r="452" spans="1:9" ht="18" customHeight="1">
      <c r="A452" s="79"/>
      <c r="B452" s="80"/>
      <c r="C452" s="81"/>
      <c r="D452" s="81"/>
      <c r="E452" s="31"/>
      <c r="F452" s="63">
        <f t="shared" si="12"/>
        <v>0</v>
      </c>
      <c r="G452" s="82"/>
      <c r="H452" s="53">
        <f t="shared" si="13"/>
        <v>0</v>
      </c>
      <c r="I452" s="81"/>
    </row>
    <row r="453" spans="1:9" ht="18" customHeight="1">
      <c r="A453" s="79"/>
      <c r="B453" s="80"/>
      <c r="C453" s="81"/>
      <c r="D453" s="81"/>
      <c r="E453" s="31"/>
      <c r="F453" s="63">
        <f t="shared" si="12"/>
        <v>0</v>
      </c>
      <c r="G453" s="82"/>
      <c r="H453" s="53">
        <f t="shared" si="13"/>
        <v>0</v>
      </c>
      <c r="I453" s="81"/>
    </row>
    <row r="454" spans="1:9" ht="18" customHeight="1">
      <c r="A454" s="79"/>
      <c r="B454" s="80"/>
      <c r="C454" s="81"/>
      <c r="D454" s="81"/>
      <c r="E454" s="31"/>
      <c r="F454" s="63">
        <f t="shared" si="12"/>
        <v>0</v>
      </c>
      <c r="G454" s="82"/>
      <c r="H454" s="53">
        <f t="shared" si="13"/>
        <v>0</v>
      </c>
      <c r="I454" s="81"/>
    </row>
    <row r="455" spans="1:9" ht="18" customHeight="1">
      <c r="A455" s="79"/>
      <c r="B455" s="80"/>
      <c r="C455" s="81"/>
      <c r="D455" s="81"/>
      <c r="E455" s="31"/>
      <c r="F455" s="63">
        <f t="shared" ref="F455:F518" si="14">IFERROR(E455*$B$3,0)</f>
        <v>0</v>
      </c>
      <c r="G455" s="82"/>
      <c r="H455" s="53">
        <f t="shared" ref="H455:H518" si="15">IFERROR(E455+F455,0)</f>
        <v>0</v>
      </c>
      <c r="I455" s="81"/>
    </row>
    <row r="456" spans="1:9" ht="18" customHeight="1">
      <c r="A456" s="79"/>
      <c r="B456" s="80"/>
      <c r="C456" s="81"/>
      <c r="D456" s="81"/>
      <c r="E456" s="31"/>
      <c r="F456" s="63">
        <f t="shared" si="14"/>
        <v>0</v>
      </c>
      <c r="G456" s="82"/>
      <c r="H456" s="53">
        <f t="shared" si="15"/>
        <v>0</v>
      </c>
      <c r="I456" s="81"/>
    </row>
    <row r="457" spans="1:9" ht="18" customHeight="1">
      <c r="A457" s="79"/>
      <c r="B457" s="80"/>
      <c r="C457" s="81"/>
      <c r="D457" s="81"/>
      <c r="E457" s="31"/>
      <c r="F457" s="63">
        <f t="shared" si="14"/>
        <v>0</v>
      </c>
      <c r="G457" s="82"/>
      <c r="H457" s="53">
        <f t="shared" si="15"/>
        <v>0</v>
      </c>
      <c r="I457" s="81"/>
    </row>
    <row r="458" spans="1:9" ht="18" customHeight="1">
      <c r="A458" s="79"/>
      <c r="B458" s="80"/>
      <c r="C458" s="81"/>
      <c r="D458" s="81"/>
      <c r="E458" s="31"/>
      <c r="F458" s="63">
        <f t="shared" si="14"/>
        <v>0</v>
      </c>
      <c r="G458" s="82"/>
      <c r="H458" s="53">
        <f t="shared" si="15"/>
        <v>0</v>
      </c>
      <c r="I458" s="81"/>
    </row>
    <row r="459" spans="1:9" ht="18" customHeight="1">
      <c r="A459" s="79"/>
      <c r="B459" s="80"/>
      <c r="C459" s="81"/>
      <c r="D459" s="81"/>
      <c r="E459" s="31"/>
      <c r="F459" s="63">
        <f t="shared" si="14"/>
        <v>0</v>
      </c>
      <c r="G459" s="82"/>
      <c r="H459" s="53">
        <f t="shared" si="15"/>
        <v>0</v>
      </c>
      <c r="I459" s="81"/>
    </row>
    <row r="460" spans="1:9" ht="18" customHeight="1">
      <c r="A460" s="79"/>
      <c r="B460" s="80"/>
      <c r="C460" s="81"/>
      <c r="D460" s="81"/>
      <c r="E460" s="31"/>
      <c r="F460" s="63">
        <f t="shared" si="14"/>
        <v>0</v>
      </c>
      <c r="G460" s="82"/>
      <c r="H460" s="53">
        <f t="shared" si="15"/>
        <v>0</v>
      </c>
      <c r="I460" s="81"/>
    </row>
    <row r="461" spans="1:9" ht="18" customHeight="1">
      <c r="A461" s="79"/>
      <c r="B461" s="80"/>
      <c r="C461" s="81"/>
      <c r="D461" s="81"/>
      <c r="E461" s="31"/>
      <c r="F461" s="63">
        <f t="shared" si="14"/>
        <v>0</v>
      </c>
      <c r="G461" s="82"/>
      <c r="H461" s="53">
        <f t="shared" si="15"/>
        <v>0</v>
      </c>
      <c r="I461" s="81"/>
    </row>
    <row r="462" spans="1:9" ht="18" customHeight="1">
      <c r="A462" s="79"/>
      <c r="B462" s="80"/>
      <c r="C462" s="81"/>
      <c r="D462" s="81"/>
      <c r="E462" s="31"/>
      <c r="F462" s="63">
        <f t="shared" si="14"/>
        <v>0</v>
      </c>
      <c r="G462" s="82"/>
      <c r="H462" s="53">
        <f t="shared" si="15"/>
        <v>0</v>
      </c>
      <c r="I462" s="81"/>
    </row>
    <row r="463" spans="1:9" ht="18" customHeight="1">
      <c r="A463" s="79"/>
      <c r="B463" s="80"/>
      <c r="C463" s="81"/>
      <c r="D463" s="81"/>
      <c r="E463" s="31"/>
      <c r="F463" s="63">
        <f t="shared" si="14"/>
        <v>0</v>
      </c>
      <c r="G463" s="82"/>
      <c r="H463" s="53">
        <f t="shared" si="15"/>
        <v>0</v>
      </c>
      <c r="I463" s="81"/>
    </row>
    <row r="464" spans="1:9" ht="18" customHeight="1">
      <c r="A464" s="79"/>
      <c r="B464" s="80"/>
      <c r="C464" s="81"/>
      <c r="D464" s="81"/>
      <c r="E464" s="31"/>
      <c r="F464" s="63">
        <f t="shared" si="14"/>
        <v>0</v>
      </c>
      <c r="G464" s="82"/>
      <c r="H464" s="53">
        <f t="shared" si="15"/>
        <v>0</v>
      </c>
      <c r="I464" s="81"/>
    </row>
    <row r="465" spans="1:9" ht="18" customHeight="1">
      <c r="A465" s="79"/>
      <c r="B465" s="80"/>
      <c r="C465" s="81"/>
      <c r="D465" s="81"/>
      <c r="E465" s="31"/>
      <c r="F465" s="63">
        <f t="shared" si="14"/>
        <v>0</v>
      </c>
      <c r="G465" s="82"/>
      <c r="H465" s="53">
        <f t="shared" si="15"/>
        <v>0</v>
      </c>
      <c r="I465" s="81"/>
    </row>
    <row r="466" spans="1:9" ht="18" customHeight="1">
      <c r="A466" s="79"/>
      <c r="B466" s="80"/>
      <c r="C466" s="81"/>
      <c r="D466" s="81"/>
      <c r="E466" s="31"/>
      <c r="F466" s="63">
        <f t="shared" si="14"/>
        <v>0</v>
      </c>
      <c r="G466" s="82"/>
      <c r="H466" s="53">
        <f t="shared" si="15"/>
        <v>0</v>
      </c>
      <c r="I466" s="81"/>
    </row>
    <row r="467" spans="1:9" ht="18" customHeight="1">
      <c r="A467" s="79"/>
      <c r="B467" s="80"/>
      <c r="C467" s="81"/>
      <c r="D467" s="81"/>
      <c r="E467" s="31"/>
      <c r="F467" s="63">
        <f t="shared" si="14"/>
        <v>0</v>
      </c>
      <c r="G467" s="82"/>
      <c r="H467" s="53">
        <f t="shared" si="15"/>
        <v>0</v>
      </c>
      <c r="I467" s="81"/>
    </row>
    <row r="468" spans="1:9" ht="18" customHeight="1">
      <c r="A468" s="79"/>
      <c r="B468" s="80"/>
      <c r="C468" s="81"/>
      <c r="D468" s="81"/>
      <c r="E468" s="31"/>
      <c r="F468" s="63">
        <f t="shared" si="14"/>
        <v>0</v>
      </c>
      <c r="G468" s="82"/>
      <c r="H468" s="53">
        <f t="shared" si="15"/>
        <v>0</v>
      </c>
      <c r="I468" s="81"/>
    </row>
    <row r="469" spans="1:9" ht="18" customHeight="1">
      <c r="A469" s="79"/>
      <c r="B469" s="80"/>
      <c r="C469" s="81"/>
      <c r="D469" s="81"/>
      <c r="E469" s="31"/>
      <c r="F469" s="63">
        <f t="shared" si="14"/>
        <v>0</v>
      </c>
      <c r="G469" s="82"/>
      <c r="H469" s="53">
        <f t="shared" si="15"/>
        <v>0</v>
      </c>
      <c r="I469" s="81"/>
    </row>
    <row r="470" spans="1:9" ht="18" customHeight="1">
      <c r="A470" s="79"/>
      <c r="B470" s="80"/>
      <c r="C470" s="81"/>
      <c r="D470" s="81"/>
      <c r="E470" s="31"/>
      <c r="F470" s="63">
        <f t="shared" si="14"/>
        <v>0</v>
      </c>
      <c r="G470" s="82"/>
      <c r="H470" s="53">
        <f t="shared" si="15"/>
        <v>0</v>
      </c>
      <c r="I470" s="81"/>
    </row>
    <row r="471" spans="1:9" ht="18" customHeight="1">
      <c r="A471" s="79"/>
      <c r="B471" s="80"/>
      <c r="C471" s="81"/>
      <c r="D471" s="81"/>
      <c r="E471" s="31"/>
      <c r="F471" s="63">
        <f t="shared" si="14"/>
        <v>0</v>
      </c>
      <c r="G471" s="82"/>
      <c r="H471" s="53">
        <f t="shared" si="15"/>
        <v>0</v>
      </c>
      <c r="I471" s="81"/>
    </row>
    <row r="472" spans="1:9" ht="18" customHeight="1">
      <c r="A472" s="79"/>
      <c r="B472" s="80"/>
      <c r="C472" s="81"/>
      <c r="D472" s="81"/>
      <c r="E472" s="31"/>
      <c r="F472" s="63">
        <f t="shared" si="14"/>
        <v>0</v>
      </c>
      <c r="G472" s="82"/>
      <c r="H472" s="53">
        <f t="shared" si="15"/>
        <v>0</v>
      </c>
      <c r="I472" s="81"/>
    </row>
    <row r="473" spans="1:9" ht="18" customHeight="1">
      <c r="A473" s="79"/>
      <c r="B473" s="80"/>
      <c r="C473" s="81"/>
      <c r="D473" s="81"/>
      <c r="E473" s="31"/>
      <c r="F473" s="63">
        <f t="shared" si="14"/>
        <v>0</v>
      </c>
      <c r="G473" s="82"/>
      <c r="H473" s="53">
        <f t="shared" si="15"/>
        <v>0</v>
      </c>
      <c r="I473" s="81"/>
    </row>
    <row r="474" spans="1:9" ht="18" customHeight="1">
      <c r="A474" s="79"/>
      <c r="B474" s="80"/>
      <c r="C474" s="81"/>
      <c r="D474" s="81"/>
      <c r="E474" s="31"/>
      <c r="F474" s="63">
        <f t="shared" si="14"/>
        <v>0</v>
      </c>
      <c r="G474" s="82"/>
      <c r="H474" s="53">
        <f t="shared" si="15"/>
        <v>0</v>
      </c>
      <c r="I474" s="81"/>
    </row>
    <row r="475" spans="1:9" ht="18" customHeight="1">
      <c r="A475" s="79"/>
      <c r="B475" s="80"/>
      <c r="C475" s="81"/>
      <c r="D475" s="81"/>
      <c r="E475" s="31"/>
      <c r="F475" s="63">
        <f t="shared" si="14"/>
        <v>0</v>
      </c>
      <c r="G475" s="82"/>
      <c r="H475" s="53">
        <f t="shared" si="15"/>
        <v>0</v>
      </c>
      <c r="I475" s="81"/>
    </row>
    <row r="476" spans="1:9" ht="18" customHeight="1">
      <c r="A476" s="79"/>
      <c r="B476" s="80"/>
      <c r="C476" s="81"/>
      <c r="D476" s="81"/>
      <c r="E476" s="31"/>
      <c r="F476" s="63">
        <f t="shared" si="14"/>
        <v>0</v>
      </c>
      <c r="G476" s="82"/>
      <c r="H476" s="53">
        <f t="shared" si="15"/>
        <v>0</v>
      </c>
      <c r="I476" s="81"/>
    </row>
    <row r="477" spans="1:9" ht="18" customHeight="1">
      <c r="A477" s="79"/>
      <c r="B477" s="80"/>
      <c r="C477" s="81"/>
      <c r="D477" s="81"/>
      <c r="E477" s="31"/>
      <c r="F477" s="63">
        <f t="shared" si="14"/>
        <v>0</v>
      </c>
      <c r="G477" s="82"/>
      <c r="H477" s="53">
        <f t="shared" si="15"/>
        <v>0</v>
      </c>
      <c r="I477" s="81"/>
    </row>
    <row r="478" spans="1:9" ht="18" customHeight="1">
      <c r="A478" s="79"/>
      <c r="B478" s="80"/>
      <c r="C478" s="81"/>
      <c r="D478" s="81"/>
      <c r="E478" s="31"/>
      <c r="F478" s="63">
        <f t="shared" si="14"/>
        <v>0</v>
      </c>
      <c r="G478" s="82"/>
      <c r="H478" s="53">
        <f t="shared" si="15"/>
        <v>0</v>
      </c>
      <c r="I478" s="81"/>
    </row>
    <row r="479" spans="1:9" ht="18" customHeight="1">
      <c r="A479" s="79"/>
      <c r="B479" s="80"/>
      <c r="C479" s="81"/>
      <c r="D479" s="81"/>
      <c r="E479" s="31"/>
      <c r="F479" s="63">
        <f t="shared" si="14"/>
        <v>0</v>
      </c>
      <c r="G479" s="82"/>
      <c r="H479" s="53">
        <f t="shared" si="15"/>
        <v>0</v>
      </c>
      <c r="I479" s="81"/>
    </row>
    <row r="480" spans="1:9" ht="18" customHeight="1">
      <c r="A480" s="79"/>
      <c r="B480" s="80"/>
      <c r="C480" s="81"/>
      <c r="D480" s="81"/>
      <c r="E480" s="31"/>
      <c r="F480" s="63">
        <f t="shared" si="14"/>
        <v>0</v>
      </c>
      <c r="G480" s="82"/>
      <c r="H480" s="53">
        <f t="shared" si="15"/>
        <v>0</v>
      </c>
      <c r="I480" s="81"/>
    </row>
    <row r="481" spans="1:9" ht="18" customHeight="1">
      <c r="A481" s="79"/>
      <c r="B481" s="80"/>
      <c r="C481" s="81"/>
      <c r="D481" s="81"/>
      <c r="E481" s="31"/>
      <c r="F481" s="63">
        <f t="shared" si="14"/>
        <v>0</v>
      </c>
      <c r="G481" s="82"/>
      <c r="H481" s="53">
        <f t="shared" si="15"/>
        <v>0</v>
      </c>
      <c r="I481" s="81"/>
    </row>
    <row r="482" spans="1:9" ht="18" customHeight="1">
      <c r="A482" s="79"/>
      <c r="B482" s="80"/>
      <c r="C482" s="81"/>
      <c r="D482" s="81"/>
      <c r="E482" s="31"/>
      <c r="F482" s="63">
        <f t="shared" si="14"/>
        <v>0</v>
      </c>
      <c r="G482" s="82"/>
      <c r="H482" s="53">
        <f t="shared" si="15"/>
        <v>0</v>
      </c>
      <c r="I482" s="81"/>
    </row>
    <row r="483" spans="1:9" ht="18" customHeight="1">
      <c r="A483" s="79"/>
      <c r="B483" s="80"/>
      <c r="C483" s="81"/>
      <c r="D483" s="81"/>
      <c r="E483" s="31"/>
      <c r="F483" s="63">
        <f t="shared" si="14"/>
        <v>0</v>
      </c>
      <c r="G483" s="82"/>
      <c r="H483" s="53">
        <f t="shared" si="15"/>
        <v>0</v>
      </c>
      <c r="I483" s="81"/>
    </row>
    <row r="484" spans="1:9" ht="18" customHeight="1">
      <c r="A484" s="79"/>
      <c r="B484" s="80"/>
      <c r="C484" s="81"/>
      <c r="D484" s="81"/>
      <c r="E484" s="31"/>
      <c r="F484" s="63">
        <f t="shared" si="14"/>
        <v>0</v>
      </c>
      <c r="G484" s="82"/>
      <c r="H484" s="53">
        <f t="shared" si="15"/>
        <v>0</v>
      </c>
      <c r="I484" s="81"/>
    </row>
    <row r="485" spans="1:9" ht="18" customHeight="1">
      <c r="A485" s="79"/>
      <c r="B485" s="80"/>
      <c r="C485" s="81"/>
      <c r="D485" s="81"/>
      <c r="E485" s="31"/>
      <c r="F485" s="63">
        <f t="shared" si="14"/>
        <v>0</v>
      </c>
      <c r="G485" s="82"/>
      <c r="H485" s="53">
        <f t="shared" si="15"/>
        <v>0</v>
      </c>
      <c r="I485" s="81"/>
    </row>
    <row r="486" spans="1:9" ht="18" customHeight="1">
      <c r="A486" s="79"/>
      <c r="B486" s="80"/>
      <c r="C486" s="81"/>
      <c r="D486" s="81"/>
      <c r="E486" s="31"/>
      <c r="F486" s="63">
        <f t="shared" si="14"/>
        <v>0</v>
      </c>
      <c r="G486" s="82"/>
      <c r="H486" s="53">
        <f t="shared" si="15"/>
        <v>0</v>
      </c>
      <c r="I486" s="81"/>
    </row>
    <row r="487" spans="1:9" ht="18" customHeight="1">
      <c r="A487" s="79"/>
      <c r="B487" s="80"/>
      <c r="C487" s="81"/>
      <c r="D487" s="81"/>
      <c r="E487" s="31"/>
      <c r="F487" s="63">
        <f t="shared" si="14"/>
        <v>0</v>
      </c>
      <c r="G487" s="82"/>
      <c r="H487" s="53">
        <f t="shared" si="15"/>
        <v>0</v>
      </c>
      <c r="I487" s="81"/>
    </row>
    <row r="488" spans="1:9" ht="18" customHeight="1">
      <c r="A488" s="79"/>
      <c r="B488" s="80"/>
      <c r="C488" s="81"/>
      <c r="D488" s="81"/>
      <c r="E488" s="31"/>
      <c r="F488" s="63">
        <f t="shared" si="14"/>
        <v>0</v>
      </c>
      <c r="G488" s="82"/>
      <c r="H488" s="53">
        <f t="shared" si="15"/>
        <v>0</v>
      </c>
      <c r="I488" s="81"/>
    </row>
    <row r="489" spans="1:9" ht="18" customHeight="1">
      <c r="A489" s="79"/>
      <c r="B489" s="80"/>
      <c r="C489" s="81"/>
      <c r="D489" s="81"/>
      <c r="E489" s="31"/>
      <c r="F489" s="63">
        <f t="shared" si="14"/>
        <v>0</v>
      </c>
      <c r="G489" s="82"/>
      <c r="H489" s="53">
        <f t="shared" si="15"/>
        <v>0</v>
      </c>
      <c r="I489" s="81"/>
    </row>
    <row r="490" spans="1:9" ht="18" customHeight="1">
      <c r="A490" s="79"/>
      <c r="B490" s="80"/>
      <c r="C490" s="81"/>
      <c r="D490" s="81"/>
      <c r="E490" s="31"/>
      <c r="F490" s="63">
        <f t="shared" si="14"/>
        <v>0</v>
      </c>
      <c r="G490" s="82"/>
      <c r="H490" s="53">
        <f t="shared" si="15"/>
        <v>0</v>
      </c>
      <c r="I490" s="81"/>
    </row>
    <row r="491" spans="1:9" ht="18" customHeight="1">
      <c r="A491" s="79"/>
      <c r="B491" s="80"/>
      <c r="C491" s="81"/>
      <c r="D491" s="81"/>
      <c r="E491" s="31"/>
      <c r="F491" s="63">
        <f t="shared" si="14"/>
        <v>0</v>
      </c>
      <c r="G491" s="82"/>
      <c r="H491" s="53">
        <f t="shared" si="15"/>
        <v>0</v>
      </c>
      <c r="I491" s="81"/>
    </row>
    <row r="492" spans="1:9" ht="18" customHeight="1">
      <c r="A492" s="79"/>
      <c r="B492" s="80"/>
      <c r="C492" s="81"/>
      <c r="D492" s="81"/>
      <c r="E492" s="31"/>
      <c r="F492" s="63">
        <f t="shared" si="14"/>
        <v>0</v>
      </c>
      <c r="G492" s="82"/>
      <c r="H492" s="53">
        <f t="shared" si="15"/>
        <v>0</v>
      </c>
      <c r="I492" s="81"/>
    </row>
    <row r="493" spans="1:9" ht="18" customHeight="1">
      <c r="A493" s="79"/>
      <c r="B493" s="80"/>
      <c r="C493" s="81"/>
      <c r="D493" s="81"/>
      <c r="E493" s="31"/>
      <c r="F493" s="63">
        <f t="shared" si="14"/>
        <v>0</v>
      </c>
      <c r="G493" s="82"/>
      <c r="H493" s="53">
        <f t="shared" si="15"/>
        <v>0</v>
      </c>
      <c r="I493" s="81"/>
    </row>
    <row r="494" spans="1:9" ht="18" customHeight="1">
      <c r="A494" s="79"/>
      <c r="B494" s="80"/>
      <c r="C494" s="81"/>
      <c r="D494" s="81"/>
      <c r="E494" s="31"/>
      <c r="F494" s="63">
        <f t="shared" si="14"/>
        <v>0</v>
      </c>
      <c r="G494" s="82"/>
      <c r="H494" s="53">
        <f t="shared" si="15"/>
        <v>0</v>
      </c>
      <c r="I494" s="81"/>
    </row>
    <row r="495" spans="1:9" ht="18" customHeight="1">
      <c r="A495" s="79"/>
      <c r="B495" s="80"/>
      <c r="C495" s="81"/>
      <c r="D495" s="81"/>
      <c r="E495" s="31"/>
      <c r="F495" s="63">
        <f t="shared" si="14"/>
        <v>0</v>
      </c>
      <c r="G495" s="82"/>
      <c r="H495" s="53">
        <f t="shared" si="15"/>
        <v>0</v>
      </c>
      <c r="I495" s="81"/>
    </row>
    <row r="496" spans="1:9" ht="18" customHeight="1">
      <c r="A496" s="79"/>
      <c r="B496" s="80"/>
      <c r="C496" s="81"/>
      <c r="D496" s="81"/>
      <c r="E496" s="31"/>
      <c r="F496" s="63">
        <f t="shared" si="14"/>
        <v>0</v>
      </c>
      <c r="G496" s="82"/>
      <c r="H496" s="53">
        <f t="shared" si="15"/>
        <v>0</v>
      </c>
      <c r="I496" s="81"/>
    </row>
    <row r="497" spans="1:9" ht="18" customHeight="1">
      <c r="A497" s="79"/>
      <c r="B497" s="80"/>
      <c r="C497" s="81"/>
      <c r="D497" s="81"/>
      <c r="E497" s="31"/>
      <c r="F497" s="63">
        <f t="shared" si="14"/>
        <v>0</v>
      </c>
      <c r="G497" s="82"/>
      <c r="H497" s="53">
        <f t="shared" si="15"/>
        <v>0</v>
      </c>
      <c r="I497" s="81"/>
    </row>
    <row r="498" spans="1:9" ht="18" customHeight="1">
      <c r="A498" s="79"/>
      <c r="B498" s="80"/>
      <c r="C498" s="81"/>
      <c r="D498" s="81"/>
      <c r="E498" s="31"/>
      <c r="F498" s="63">
        <f t="shared" si="14"/>
        <v>0</v>
      </c>
      <c r="G498" s="82"/>
      <c r="H498" s="53">
        <f t="shared" si="15"/>
        <v>0</v>
      </c>
      <c r="I498" s="81"/>
    </row>
    <row r="499" spans="1:9" ht="18" customHeight="1">
      <c r="A499" s="79"/>
      <c r="B499" s="80"/>
      <c r="C499" s="81"/>
      <c r="D499" s="81"/>
      <c r="E499" s="31"/>
      <c r="F499" s="63">
        <f t="shared" si="14"/>
        <v>0</v>
      </c>
      <c r="G499" s="82"/>
      <c r="H499" s="53">
        <f t="shared" si="15"/>
        <v>0</v>
      </c>
      <c r="I499" s="81"/>
    </row>
    <row r="500" spans="1:9" ht="18" customHeight="1">
      <c r="A500" s="79"/>
      <c r="B500" s="80"/>
      <c r="C500" s="81"/>
      <c r="D500" s="81"/>
      <c r="E500" s="31"/>
      <c r="F500" s="63">
        <f t="shared" si="14"/>
        <v>0</v>
      </c>
      <c r="G500" s="82"/>
      <c r="H500" s="53">
        <f t="shared" si="15"/>
        <v>0</v>
      </c>
      <c r="I500" s="81"/>
    </row>
    <row r="501" spans="1:9" ht="18" customHeight="1">
      <c r="A501" s="79"/>
      <c r="B501" s="80"/>
      <c r="C501" s="81"/>
      <c r="D501" s="81"/>
      <c r="E501" s="31"/>
      <c r="F501" s="63">
        <f t="shared" si="14"/>
        <v>0</v>
      </c>
      <c r="G501" s="82"/>
      <c r="H501" s="53">
        <f t="shared" si="15"/>
        <v>0</v>
      </c>
      <c r="I501" s="81"/>
    </row>
    <row r="502" spans="1:9" ht="18" customHeight="1">
      <c r="A502" s="79"/>
      <c r="B502" s="80"/>
      <c r="C502" s="81"/>
      <c r="D502" s="81"/>
      <c r="E502" s="31"/>
      <c r="F502" s="63">
        <f t="shared" si="14"/>
        <v>0</v>
      </c>
      <c r="G502" s="82"/>
      <c r="H502" s="53">
        <f t="shared" si="15"/>
        <v>0</v>
      </c>
      <c r="I502" s="81"/>
    </row>
    <row r="503" spans="1:9" ht="18" customHeight="1">
      <c r="A503" s="79"/>
      <c r="B503" s="80"/>
      <c r="C503" s="81"/>
      <c r="D503" s="81"/>
      <c r="E503" s="31"/>
      <c r="F503" s="63">
        <f t="shared" si="14"/>
        <v>0</v>
      </c>
      <c r="G503" s="82"/>
      <c r="H503" s="53">
        <f t="shared" si="15"/>
        <v>0</v>
      </c>
      <c r="I503" s="81"/>
    </row>
    <row r="504" spans="1:9" ht="18" customHeight="1">
      <c r="A504" s="79"/>
      <c r="B504" s="80"/>
      <c r="C504" s="81"/>
      <c r="D504" s="81"/>
      <c r="E504" s="31"/>
      <c r="F504" s="63">
        <f t="shared" si="14"/>
        <v>0</v>
      </c>
      <c r="G504" s="82"/>
      <c r="H504" s="53">
        <f t="shared" si="15"/>
        <v>0</v>
      </c>
      <c r="I504" s="81"/>
    </row>
    <row r="505" spans="1:9" ht="18" customHeight="1">
      <c r="A505" s="79"/>
      <c r="B505" s="80"/>
      <c r="C505" s="81"/>
      <c r="D505" s="81"/>
      <c r="E505" s="31"/>
      <c r="F505" s="63">
        <f t="shared" si="14"/>
        <v>0</v>
      </c>
      <c r="G505" s="82"/>
      <c r="H505" s="53">
        <f t="shared" si="15"/>
        <v>0</v>
      </c>
      <c r="I505" s="81"/>
    </row>
    <row r="506" spans="1:9" ht="18" customHeight="1">
      <c r="A506" s="79"/>
      <c r="B506" s="80"/>
      <c r="C506" s="81"/>
      <c r="D506" s="81"/>
      <c r="E506" s="31"/>
      <c r="F506" s="63">
        <f t="shared" si="14"/>
        <v>0</v>
      </c>
      <c r="G506" s="82"/>
      <c r="H506" s="53">
        <f t="shared" si="15"/>
        <v>0</v>
      </c>
      <c r="I506" s="81"/>
    </row>
    <row r="507" spans="1:9" ht="18" customHeight="1">
      <c r="A507" s="79"/>
      <c r="B507" s="80"/>
      <c r="C507" s="81"/>
      <c r="D507" s="81"/>
      <c r="E507" s="31"/>
      <c r="F507" s="63">
        <f t="shared" si="14"/>
        <v>0</v>
      </c>
      <c r="G507" s="82"/>
      <c r="H507" s="53">
        <f t="shared" si="15"/>
        <v>0</v>
      </c>
      <c r="I507" s="81"/>
    </row>
    <row r="508" spans="1:9" ht="18" customHeight="1">
      <c r="A508" s="79"/>
      <c r="B508" s="80"/>
      <c r="C508" s="81"/>
      <c r="D508" s="81"/>
      <c r="E508" s="31"/>
      <c r="F508" s="63">
        <f t="shared" si="14"/>
        <v>0</v>
      </c>
      <c r="G508" s="82"/>
      <c r="H508" s="53">
        <f t="shared" si="15"/>
        <v>0</v>
      </c>
      <c r="I508" s="81"/>
    </row>
    <row r="509" spans="1:9" ht="18" customHeight="1">
      <c r="A509" s="79"/>
      <c r="B509" s="80"/>
      <c r="C509" s="81"/>
      <c r="D509" s="81"/>
      <c r="E509" s="31"/>
      <c r="F509" s="63">
        <f t="shared" si="14"/>
        <v>0</v>
      </c>
      <c r="G509" s="82"/>
      <c r="H509" s="53">
        <f t="shared" si="15"/>
        <v>0</v>
      </c>
      <c r="I509" s="81"/>
    </row>
    <row r="510" spans="1:9" ht="18" customHeight="1">
      <c r="A510" s="79"/>
      <c r="B510" s="80"/>
      <c r="C510" s="81"/>
      <c r="D510" s="81"/>
      <c r="E510" s="31"/>
      <c r="F510" s="63">
        <f t="shared" si="14"/>
        <v>0</v>
      </c>
      <c r="G510" s="82"/>
      <c r="H510" s="53">
        <f t="shared" si="15"/>
        <v>0</v>
      </c>
      <c r="I510" s="81"/>
    </row>
    <row r="511" spans="1:9" ht="18" customHeight="1">
      <c r="A511" s="79"/>
      <c r="B511" s="80"/>
      <c r="C511" s="81"/>
      <c r="D511" s="81"/>
      <c r="E511" s="31"/>
      <c r="F511" s="63">
        <f t="shared" si="14"/>
        <v>0</v>
      </c>
      <c r="G511" s="82"/>
      <c r="H511" s="53">
        <f t="shared" si="15"/>
        <v>0</v>
      </c>
      <c r="I511" s="81"/>
    </row>
    <row r="512" spans="1:9" ht="18" customHeight="1">
      <c r="A512" s="79"/>
      <c r="B512" s="80"/>
      <c r="C512" s="81"/>
      <c r="D512" s="81"/>
      <c r="E512" s="31"/>
      <c r="F512" s="63">
        <f t="shared" si="14"/>
        <v>0</v>
      </c>
      <c r="G512" s="82"/>
      <c r="H512" s="53">
        <f t="shared" si="15"/>
        <v>0</v>
      </c>
      <c r="I512" s="81"/>
    </row>
    <row r="513" spans="1:9" ht="18" customHeight="1">
      <c r="A513" s="79"/>
      <c r="B513" s="80"/>
      <c r="C513" s="81"/>
      <c r="D513" s="81"/>
      <c r="E513" s="31"/>
      <c r="F513" s="63">
        <f t="shared" si="14"/>
        <v>0</v>
      </c>
      <c r="G513" s="82"/>
      <c r="H513" s="53">
        <f t="shared" si="15"/>
        <v>0</v>
      </c>
      <c r="I513" s="81"/>
    </row>
    <row r="514" spans="1:9" ht="18" customHeight="1">
      <c r="A514" s="79"/>
      <c r="B514" s="80"/>
      <c r="C514" s="81"/>
      <c r="D514" s="81"/>
      <c r="E514" s="31"/>
      <c r="F514" s="63">
        <f t="shared" si="14"/>
        <v>0</v>
      </c>
      <c r="G514" s="82"/>
      <c r="H514" s="53">
        <f t="shared" si="15"/>
        <v>0</v>
      </c>
      <c r="I514" s="81"/>
    </row>
    <row r="515" spans="1:9" ht="18" customHeight="1">
      <c r="A515" s="79"/>
      <c r="B515" s="80"/>
      <c r="C515" s="81"/>
      <c r="D515" s="81"/>
      <c r="E515" s="31"/>
      <c r="F515" s="63">
        <f t="shared" si="14"/>
        <v>0</v>
      </c>
      <c r="G515" s="82"/>
      <c r="H515" s="53">
        <f t="shared" si="15"/>
        <v>0</v>
      </c>
      <c r="I515" s="81"/>
    </row>
    <row r="516" spans="1:9" ht="18" customHeight="1">
      <c r="A516" s="79"/>
      <c r="B516" s="80"/>
      <c r="C516" s="81"/>
      <c r="D516" s="81"/>
      <c r="E516" s="31"/>
      <c r="F516" s="63">
        <f t="shared" si="14"/>
        <v>0</v>
      </c>
      <c r="G516" s="82"/>
      <c r="H516" s="53">
        <f t="shared" si="15"/>
        <v>0</v>
      </c>
      <c r="I516" s="81"/>
    </row>
    <row r="517" spans="1:9" ht="18" customHeight="1">
      <c r="A517" s="79"/>
      <c r="B517" s="80"/>
      <c r="C517" s="81"/>
      <c r="D517" s="81"/>
      <c r="E517" s="31"/>
      <c r="F517" s="63">
        <f t="shared" si="14"/>
        <v>0</v>
      </c>
      <c r="G517" s="82"/>
      <c r="H517" s="53">
        <f t="shared" si="15"/>
        <v>0</v>
      </c>
      <c r="I517" s="81"/>
    </row>
    <row r="518" spans="1:9" ht="18" customHeight="1">
      <c r="A518" s="79"/>
      <c r="B518" s="80"/>
      <c r="C518" s="81"/>
      <c r="D518" s="81"/>
      <c r="E518" s="31"/>
      <c r="F518" s="63">
        <f t="shared" si="14"/>
        <v>0</v>
      </c>
      <c r="G518" s="82"/>
      <c r="H518" s="53">
        <f t="shared" si="15"/>
        <v>0</v>
      </c>
      <c r="I518" s="81"/>
    </row>
    <row r="519" spans="1:9" ht="18" customHeight="1">
      <c r="A519" s="79"/>
      <c r="B519" s="80"/>
      <c r="C519" s="81"/>
      <c r="D519" s="81"/>
      <c r="E519" s="31"/>
      <c r="F519" s="63">
        <f t="shared" ref="F519:F582" si="16">IFERROR(E519*$B$3,0)</f>
        <v>0</v>
      </c>
      <c r="G519" s="82"/>
      <c r="H519" s="53">
        <f t="shared" ref="H519:H582" si="17">IFERROR(E519+F519,0)</f>
        <v>0</v>
      </c>
      <c r="I519" s="81"/>
    </row>
    <row r="520" spans="1:9" ht="18" customHeight="1">
      <c r="A520" s="79"/>
      <c r="B520" s="80"/>
      <c r="C520" s="81"/>
      <c r="D520" s="81"/>
      <c r="E520" s="31"/>
      <c r="F520" s="63">
        <f t="shared" si="16"/>
        <v>0</v>
      </c>
      <c r="G520" s="82"/>
      <c r="H520" s="53">
        <f t="shared" si="17"/>
        <v>0</v>
      </c>
      <c r="I520" s="81"/>
    </row>
    <row r="521" spans="1:9" ht="18" customHeight="1">
      <c r="A521" s="79"/>
      <c r="B521" s="80"/>
      <c r="C521" s="81"/>
      <c r="D521" s="81"/>
      <c r="E521" s="31"/>
      <c r="F521" s="63">
        <f t="shared" si="16"/>
        <v>0</v>
      </c>
      <c r="G521" s="82"/>
      <c r="H521" s="53">
        <f t="shared" si="17"/>
        <v>0</v>
      </c>
      <c r="I521" s="81"/>
    </row>
    <row r="522" spans="1:9" ht="18" customHeight="1">
      <c r="A522" s="79"/>
      <c r="B522" s="80"/>
      <c r="C522" s="81"/>
      <c r="D522" s="81"/>
      <c r="E522" s="31"/>
      <c r="F522" s="63">
        <f t="shared" si="16"/>
        <v>0</v>
      </c>
      <c r="G522" s="82"/>
      <c r="H522" s="53">
        <f t="shared" si="17"/>
        <v>0</v>
      </c>
      <c r="I522" s="81"/>
    </row>
    <row r="523" spans="1:9" ht="18" customHeight="1">
      <c r="A523" s="79"/>
      <c r="B523" s="80"/>
      <c r="C523" s="81"/>
      <c r="D523" s="81"/>
      <c r="E523" s="31"/>
      <c r="F523" s="63">
        <f t="shared" si="16"/>
        <v>0</v>
      </c>
      <c r="G523" s="82"/>
      <c r="H523" s="53">
        <f t="shared" si="17"/>
        <v>0</v>
      </c>
      <c r="I523" s="81"/>
    </row>
    <row r="524" spans="1:9" ht="18" customHeight="1">
      <c r="A524" s="79"/>
      <c r="B524" s="80"/>
      <c r="C524" s="81"/>
      <c r="D524" s="81"/>
      <c r="E524" s="31"/>
      <c r="F524" s="63">
        <f t="shared" si="16"/>
        <v>0</v>
      </c>
      <c r="G524" s="82"/>
      <c r="H524" s="53">
        <f t="shared" si="17"/>
        <v>0</v>
      </c>
      <c r="I524" s="81"/>
    </row>
    <row r="525" spans="1:9" ht="18" customHeight="1">
      <c r="A525" s="79"/>
      <c r="B525" s="80"/>
      <c r="C525" s="81"/>
      <c r="D525" s="81"/>
      <c r="E525" s="31"/>
      <c r="F525" s="63">
        <f t="shared" si="16"/>
        <v>0</v>
      </c>
      <c r="G525" s="82"/>
      <c r="H525" s="53">
        <f t="shared" si="17"/>
        <v>0</v>
      </c>
      <c r="I525" s="81"/>
    </row>
    <row r="526" spans="1:9" ht="18" customHeight="1">
      <c r="A526" s="79"/>
      <c r="B526" s="80"/>
      <c r="C526" s="81"/>
      <c r="D526" s="81"/>
      <c r="E526" s="31"/>
      <c r="F526" s="63">
        <f t="shared" si="16"/>
        <v>0</v>
      </c>
      <c r="G526" s="82"/>
      <c r="H526" s="53">
        <f t="shared" si="17"/>
        <v>0</v>
      </c>
      <c r="I526" s="81"/>
    </row>
    <row r="527" spans="1:9" ht="18" customHeight="1">
      <c r="A527" s="79"/>
      <c r="B527" s="80"/>
      <c r="C527" s="81"/>
      <c r="D527" s="81"/>
      <c r="E527" s="31"/>
      <c r="F527" s="63">
        <f t="shared" si="16"/>
        <v>0</v>
      </c>
      <c r="G527" s="82"/>
      <c r="H527" s="53">
        <f t="shared" si="17"/>
        <v>0</v>
      </c>
      <c r="I527" s="81"/>
    </row>
    <row r="528" spans="1:9" ht="18" customHeight="1">
      <c r="A528" s="79"/>
      <c r="B528" s="80"/>
      <c r="C528" s="81"/>
      <c r="D528" s="81"/>
      <c r="E528" s="31"/>
      <c r="F528" s="63">
        <f t="shared" si="16"/>
        <v>0</v>
      </c>
      <c r="G528" s="82"/>
      <c r="H528" s="53">
        <f t="shared" si="17"/>
        <v>0</v>
      </c>
      <c r="I528" s="81"/>
    </row>
    <row r="529" spans="1:9" ht="18" customHeight="1">
      <c r="A529" s="79"/>
      <c r="B529" s="80"/>
      <c r="C529" s="81"/>
      <c r="D529" s="81"/>
      <c r="E529" s="31"/>
      <c r="F529" s="63">
        <f t="shared" si="16"/>
        <v>0</v>
      </c>
      <c r="G529" s="82"/>
      <c r="H529" s="53">
        <f t="shared" si="17"/>
        <v>0</v>
      </c>
      <c r="I529" s="81"/>
    </row>
    <row r="530" spans="1:9" ht="18" customHeight="1">
      <c r="A530" s="79"/>
      <c r="B530" s="80"/>
      <c r="C530" s="81"/>
      <c r="D530" s="81"/>
      <c r="E530" s="31"/>
      <c r="F530" s="63">
        <f t="shared" si="16"/>
        <v>0</v>
      </c>
      <c r="G530" s="82"/>
      <c r="H530" s="53">
        <f t="shared" si="17"/>
        <v>0</v>
      </c>
      <c r="I530" s="81"/>
    </row>
    <row r="531" spans="1:9" ht="18" customHeight="1">
      <c r="A531" s="79"/>
      <c r="B531" s="80"/>
      <c r="C531" s="81"/>
      <c r="D531" s="81"/>
      <c r="E531" s="31"/>
      <c r="F531" s="63">
        <f t="shared" si="16"/>
        <v>0</v>
      </c>
      <c r="G531" s="82"/>
      <c r="H531" s="53">
        <f t="shared" si="17"/>
        <v>0</v>
      </c>
      <c r="I531" s="81"/>
    </row>
    <row r="532" spans="1:9" ht="18" customHeight="1">
      <c r="A532" s="79"/>
      <c r="B532" s="80"/>
      <c r="C532" s="81"/>
      <c r="D532" s="81"/>
      <c r="E532" s="31"/>
      <c r="F532" s="63">
        <f t="shared" si="16"/>
        <v>0</v>
      </c>
      <c r="G532" s="82"/>
      <c r="H532" s="53">
        <f t="shared" si="17"/>
        <v>0</v>
      </c>
      <c r="I532" s="81"/>
    </row>
    <row r="533" spans="1:9" ht="18" customHeight="1">
      <c r="A533" s="79"/>
      <c r="B533" s="80"/>
      <c r="C533" s="81"/>
      <c r="D533" s="81"/>
      <c r="E533" s="31"/>
      <c r="F533" s="63">
        <f t="shared" si="16"/>
        <v>0</v>
      </c>
      <c r="G533" s="82"/>
      <c r="H533" s="53">
        <f t="shared" si="17"/>
        <v>0</v>
      </c>
      <c r="I533" s="81"/>
    </row>
    <row r="534" spans="1:9" ht="18" customHeight="1">
      <c r="A534" s="79"/>
      <c r="B534" s="80"/>
      <c r="C534" s="81"/>
      <c r="D534" s="81"/>
      <c r="E534" s="31"/>
      <c r="F534" s="63">
        <f t="shared" si="16"/>
        <v>0</v>
      </c>
      <c r="G534" s="82"/>
      <c r="H534" s="53">
        <f t="shared" si="17"/>
        <v>0</v>
      </c>
      <c r="I534" s="81"/>
    </row>
    <row r="535" spans="1:9" ht="18" customHeight="1">
      <c r="A535" s="79"/>
      <c r="B535" s="80"/>
      <c r="C535" s="81"/>
      <c r="D535" s="81"/>
      <c r="E535" s="31"/>
      <c r="F535" s="63">
        <f t="shared" si="16"/>
        <v>0</v>
      </c>
      <c r="G535" s="82"/>
      <c r="H535" s="53">
        <f t="shared" si="17"/>
        <v>0</v>
      </c>
      <c r="I535" s="81"/>
    </row>
    <row r="536" spans="1:9" ht="18" customHeight="1">
      <c r="A536" s="79"/>
      <c r="B536" s="80"/>
      <c r="C536" s="81"/>
      <c r="D536" s="81"/>
      <c r="E536" s="31"/>
      <c r="F536" s="63">
        <f t="shared" si="16"/>
        <v>0</v>
      </c>
      <c r="G536" s="82"/>
      <c r="H536" s="53">
        <f t="shared" si="17"/>
        <v>0</v>
      </c>
      <c r="I536" s="81"/>
    </row>
    <row r="537" spans="1:9" ht="18" customHeight="1">
      <c r="A537" s="79"/>
      <c r="B537" s="80"/>
      <c r="C537" s="81"/>
      <c r="D537" s="81"/>
      <c r="E537" s="31"/>
      <c r="F537" s="63">
        <f t="shared" si="16"/>
        <v>0</v>
      </c>
      <c r="G537" s="82"/>
      <c r="H537" s="53">
        <f t="shared" si="17"/>
        <v>0</v>
      </c>
      <c r="I537" s="81"/>
    </row>
    <row r="538" spans="1:9" ht="18" customHeight="1">
      <c r="A538" s="79"/>
      <c r="B538" s="80"/>
      <c r="C538" s="81"/>
      <c r="D538" s="81"/>
      <c r="E538" s="31"/>
      <c r="F538" s="63">
        <f t="shared" si="16"/>
        <v>0</v>
      </c>
      <c r="G538" s="82"/>
      <c r="H538" s="53">
        <f t="shared" si="17"/>
        <v>0</v>
      </c>
      <c r="I538" s="81"/>
    </row>
    <row r="539" spans="1:9" ht="18" customHeight="1">
      <c r="A539" s="79"/>
      <c r="B539" s="80"/>
      <c r="C539" s="81"/>
      <c r="D539" s="81"/>
      <c r="E539" s="31"/>
      <c r="F539" s="63">
        <f t="shared" si="16"/>
        <v>0</v>
      </c>
      <c r="G539" s="82"/>
      <c r="H539" s="53">
        <f t="shared" si="17"/>
        <v>0</v>
      </c>
      <c r="I539" s="81"/>
    </row>
    <row r="540" spans="1:9" ht="18" customHeight="1">
      <c r="A540" s="79"/>
      <c r="B540" s="80"/>
      <c r="C540" s="81"/>
      <c r="D540" s="81"/>
      <c r="E540" s="31"/>
      <c r="F540" s="63">
        <f t="shared" si="16"/>
        <v>0</v>
      </c>
      <c r="G540" s="82"/>
      <c r="H540" s="53">
        <f t="shared" si="17"/>
        <v>0</v>
      </c>
      <c r="I540" s="81"/>
    </row>
    <row r="541" spans="1:9" ht="18" customHeight="1">
      <c r="A541" s="79"/>
      <c r="B541" s="80"/>
      <c r="C541" s="81"/>
      <c r="D541" s="81"/>
      <c r="E541" s="31"/>
      <c r="F541" s="63">
        <f t="shared" si="16"/>
        <v>0</v>
      </c>
      <c r="G541" s="82"/>
      <c r="H541" s="53">
        <f t="shared" si="17"/>
        <v>0</v>
      </c>
      <c r="I541" s="81"/>
    </row>
    <row r="542" spans="1:9" ht="18" customHeight="1">
      <c r="A542" s="79"/>
      <c r="B542" s="80"/>
      <c r="C542" s="81"/>
      <c r="D542" s="81"/>
      <c r="E542" s="31"/>
      <c r="F542" s="63">
        <f t="shared" si="16"/>
        <v>0</v>
      </c>
      <c r="G542" s="82"/>
      <c r="H542" s="53">
        <f t="shared" si="17"/>
        <v>0</v>
      </c>
      <c r="I542" s="81"/>
    </row>
    <row r="543" spans="1:9" ht="18" customHeight="1">
      <c r="A543" s="79"/>
      <c r="B543" s="80"/>
      <c r="C543" s="81"/>
      <c r="D543" s="81"/>
      <c r="E543" s="31"/>
      <c r="F543" s="63">
        <f t="shared" si="16"/>
        <v>0</v>
      </c>
      <c r="G543" s="82"/>
      <c r="H543" s="53">
        <f t="shared" si="17"/>
        <v>0</v>
      </c>
      <c r="I543" s="81"/>
    </row>
    <row r="544" spans="1:9" ht="18" customHeight="1">
      <c r="A544" s="79"/>
      <c r="B544" s="80"/>
      <c r="C544" s="81"/>
      <c r="D544" s="81"/>
      <c r="E544" s="31"/>
      <c r="F544" s="63">
        <f t="shared" si="16"/>
        <v>0</v>
      </c>
      <c r="G544" s="82"/>
      <c r="H544" s="53">
        <f t="shared" si="17"/>
        <v>0</v>
      </c>
      <c r="I544" s="81"/>
    </row>
    <row r="545" spans="1:9" ht="18" customHeight="1">
      <c r="A545" s="79"/>
      <c r="B545" s="80"/>
      <c r="C545" s="81"/>
      <c r="D545" s="81"/>
      <c r="E545" s="31"/>
      <c r="F545" s="63">
        <f t="shared" si="16"/>
        <v>0</v>
      </c>
      <c r="G545" s="82"/>
      <c r="H545" s="53">
        <f t="shared" si="17"/>
        <v>0</v>
      </c>
      <c r="I545" s="81"/>
    </row>
    <row r="546" spans="1:9" ht="18" customHeight="1">
      <c r="A546" s="79"/>
      <c r="B546" s="80"/>
      <c r="C546" s="81"/>
      <c r="D546" s="81"/>
      <c r="E546" s="31"/>
      <c r="F546" s="63">
        <f t="shared" si="16"/>
        <v>0</v>
      </c>
      <c r="G546" s="82"/>
      <c r="H546" s="53">
        <f t="shared" si="17"/>
        <v>0</v>
      </c>
      <c r="I546" s="81"/>
    </row>
    <row r="547" spans="1:9" ht="18" customHeight="1">
      <c r="A547" s="79"/>
      <c r="B547" s="80"/>
      <c r="C547" s="81"/>
      <c r="D547" s="81"/>
      <c r="E547" s="31"/>
      <c r="F547" s="63">
        <f t="shared" si="16"/>
        <v>0</v>
      </c>
      <c r="G547" s="82"/>
      <c r="H547" s="53">
        <f t="shared" si="17"/>
        <v>0</v>
      </c>
      <c r="I547" s="81"/>
    </row>
    <row r="548" spans="1:9" ht="18" customHeight="1">
      <c r="A548" s="79"/>
      <c r="B548" s="80"/>
      <c r="C548" s="81"/>
      <c r="D548" s="81"/>
      <c r="E548" s="31"/>
      <c r="F548" s="63">
        <f t="shared" si="16"/>
        <v>0</v>
      </c>
      <c r="G548" s="82"/>
      <c r="H548" s="53">
        <f t="shared" si="17"/>
        <v>0</v>
      </c>
      <c r="I548" s="81"/>
    </row>
    <row r="549" spans="1:9" ht="18" customHeight="1">
      <c r="A549" s="79"/>
      <c r="B549" s="80"/>
      <c r="C549" s="81"/>
      <c r="D549" s="81"/>
      <c r="E549" s="31"/>
      <c r="F549" s="63">
        <f t="shared" si="16"/>
        <v>0</v>
      </c>
      <c r="G549" s="82"/>
      <c r="H549" s="53">
        <f t="shared" si="17"/>
        <v>0</v>
      </c>
      <c r="I549" s="81"/>
    </row>
    <row r="550" spans="1:9" ht="18" customHeight="1">
      <c r="A550" s="79"/>
      <c r="B550" s="80"/>
      <c r="C550" s="81"/>
      <c r="D550" s="81"/>
      <c r="E550" s="31"/>
      <c r="F550" s="63">
        <f t="shared" si="16"/>
        <v>0</v>
      </c>
      <c r="G550" s="82"/>
      <c r="H550" s="53">
        <f t="shared" si="17"/>
        <v>0</v>
      </c>
      <c r="I550" s="81"/>
    </row>
    <row r="551" spans="1:9" ht="18" customHeight="1">
      <c r="A551" s="79"/>
      <c r="B551" s="80"/>
      <c r="C551" s="81"/>
      <c r="D551" s="81"/>
      <c r="E551" s="31"/>
      <c r="F551" s="63">
        <f t="shared" si="16"/>
        <v>0</v>
      </c>
      <c r="G551" s="82"/>
      <c r="H551" s="53">
        <f t="shared" si="17"/>
        <v>0</v>
      </c>
      <c r="I551" s="81"/>
    </row>
    <row r="552" spans="1:9" ht="18" customHeight="1">
      <c r="A552" s="79"/>
      <c r="B552" s="80"/>
      <c r="C552" s="81"/>
      <c r="D552" s="81"/>
      <c r="E552" s="31"/>
      <c r="F552" s="63">
        <f t="shared" si="16"/>
        <v>0</v>
      </c>
      <c r="G552" s="82"/>
      <c r="H552" s="53">
        <f t="shared" si="17"/>
        <v>0</v>
      </c>
      <c r="I552" s="81"/>
    </row>
    <row r="553" spans="1:9" ht="18" customHeight="1">
      <c r="A553" s="79"/>
      <c r="B553" s="80"/>
      <c r="C553" s="81"/>
      <c r="D553" s="81"/>
      <c r="E553" s="31"/>
      <c r="F553" s="63">
        <f t="shared" si="16"/>
        <v>0</v>
      </c>
      <c r="G553" s="82"/>
      <c r="H553" s="53">
        <f t="shared" si="17"/>
        <v>0</v>
      </c>
      <c r="I553" s="81"/>
    </row>
    <row r="554" spans="1:9" ht="18" customHeight="1">
      <c r="A554" s="79"/>
      <c r="B554" s="80"/>
      <c r="C554" s="81"/>
      <c r="D554" s="81"/>
      <c r="E554" s="31"/>
      <c r="F554" s="63">
        <f t="shared" si="16"/>
        <v>0</v>
      </c>
      <c r="G554" s="82"/>
      <c r="H554" s="53">
        <f t="shared" si="17"/>
        <v>0</v>
      </c>
      <c r="I554" s="81"/>
    </row>
    <row r="555" spans="1:9" ht="18" customHeight="1">
      <c r="A555" s="79"/>
      <c r="B555" s="80"/>
      <c r="C555" s="81"/>
      <c r="D555" s="81"/>
      <c r="E555" s="31"/>
      <c r="F555" s="63">
        <f t="shared" si="16"/>
        <v>0</v>
      </c>
      <c r="G555" s="82"/>
      <c r="H555" s="53">
        <f t="shared" si="17"/>
        <v>0</v>
      </c>
      <c r="I555" s="81"/>
    </row>
    <row r="556" spans="1:9" ht="18" customHeight="1">
      <c r="A556" s="79"/>
      <c r="B556" s="80"/>
      <c r="C556" s="81"/>
      <c r="D556" s="81"/>
      <c r="E556" s="31"/>
      <c r="F556" s="63">
        <f t="shared" si="16"/>
        <v>0</v>
      </c>
      <c r="G556" s="82"/>
      <c r="H556" s="53">
        <f t="shared" si="17"/>
        <v>0</v>
      </c>
      <c r="I556" s="81"/>
    </row>
    <row r="557" spans="1:9" ht="18" customHeight="1">
      <c r="A557" s="79"/>
      <c r="B557" s="80"/>
      <c r="C557" s="81"/>
      <c r="D557" s="81"/>
      <c r="E557" s="31"/>
      <c r="F557" s="63">
        <f t="shared" si="16"/>
        <v>0</v>
      </c>
      <c r="G557" s="82"/>
      <c r="H557" s="53">
        <f t="shared" si="17"/>
        <v>0</v>
      </c>
      <c r="I557" s="81"/>
    </row>
    <row r="558" spans="1:9" ht="18" customHeight="1">
      <c r="A558" s="79"/>
      <c r="B558" s="80"/>
      <c r="C558" s="81"/>
      <c r="D558" s="81"/>
      <c r="E558" s="31"/>
      <c r="F558" s="63">
        <f t="shared" si="16"/>
        <v>0</v>
      </c>
      <c r="G558" s="82"/>
      <c r="H558" s="53">
        <f t="shared" si="17"/>
        <v>0</v>
      </c>
      <c r="I558" s="81"/>
    </row>
    <row r="559" spans="1:9" ht="18" customHeight="1">
      <c r="A559" s="79"/>
      <c r="B559" s="80"/>
      <c r="C559" s="81"/>
      <c r="D559" s="81"/>
      <c r="E559" s="31"/>
      <c r="F559" s="63">
        <f t="shared" si="16"/>
        <v>0</v>
      </c>
      <c r="G559" s="82"/>
      <c r="H559" s="53">
        <f t="shared" si="17"/>
        <v>0</v>
      </c>
      <c r="I559" s="81"/>
    </row>
    <row r="560" spans="1:9" ht="18" customHeight="1">
      <c r="A560" s="79"/>
      <c r="B560" s="80"/>
      <c r="C560" s="81"/>
      <c r="D560" s="81"/>
      <c r="E560" s="31"/>
      <c r="F560" s="63">
        <f t="shared" si="16"/>
        <v>0</v>
      </c>
      <c r="G560" s="82"/>
      <c r="H560" s="53">
        <f t="shared" si="17"/>
        <v>0</v>
      </c>
      <c r="I560" s="81"/>
    </row>
    <row r="561" spans="1:9" ht="18" customHeight="1">
      <c r="A561" s="79"/>
      <c r="B561" s="80"/>
      <c r="C561" s="81"/>
      <c r="D561" s="81"/>
      <c r="E561" s="31"/>
      <c r="F561" s="63">
        <f t="shared" si="16"/>
        <v>0</v>
      </c>
      <c r="G561" s="82"/>
      <c r="H561" s="53">
        <f t="shared" si="17"/>
        <v>0</v>
      </c>
      <c r="I561" s="81"/>
    </row>
    <row r="562" spans="1:9" ht="18" customHeight="1">
      <c r="A562" s="79"/>
      <c r="B562" s="80"/>
      <c r="C562" s="81"/>
      <c r="D562" s="81"/>
      <c r="E562" s="31"/>
      <c r="F562" s="63">
        <f t="shared" si="16"/>
        <v>0</v>
      </c>
      <c r="G562" s="82"/>
      <c r="H562" s="53">
        <f t="shared" si="17"/>
        <v>0</v>
      </c>
      <c r="I562" s="81"/>
    </row>
    <row r="563" spans="1:9" ht="18" customHeight="1">
      <c r="A563" s="79"/>
      <c r="B563" s="80"/>
      <c r="C563" s="81"/>
      <c r="D563" s="81"/>
      <c r="E563" s="31"/>
      <c r="F563" s="63">
        <f t="shared" si="16"/>
        <v>0</v>
      </c>
      <c r="G563" s="82"/>
      <c r="H563" s="53">
        <f t="shared" si="17"/>
        <v>0</v>
      </c>
      <c r="I563" s="81"/>
    </row>
    <row r="564" spans="1:9" ht="18" customHeight="1">
      <c r="A564" s="79"/>
      <c r="B564" s="80"/>
      <c r="C564" s="81"/>
      <c r="D564" s="81"/>
      <c r="E564" s="31"/>
      <c r="F564" s="63">
        <f t="shared" si="16"/>
        <v>0</v>
      </c>
      <c r="G564" s="82"/>
      <c r="H564" s="53">
        <f t="shared" si="17"/>
        <v>0</v>
      </c>
      <c r="I564" s="81"/>
    </row>
    <row r="565" spans="1:9" ht="18" customHeight="1">
      <c r="A565" s="79"/>
      <c r="B565" s="80"/>
      <c r="C565" s="81"/>
      <c r="D565" s="81"/>
      <c r="E565" s="31"/>
      <c r="F565" s="63">
        <f t="shared" si="16"/>
        <v>0</v>
      </c>
      <c r="G565" s="82"/>
      <c r="H565" s="53">
        <f t="shared" si="17"/>
        <v>0</v>
      </c>
      <c r="I565" s="81"/>
    </row>
    <row r="566" spans="1:9" ht="18" customHeight="1">
      <c r="A566" s="79"/>
      <c r="B566" s="80"/>
      <c r="C566" s="81"/>
      <c r="D566" s="81"/>
      <c r="E566" s="31"/>
      <c r="F566" s="63">
        <f t="shared" si="16"/>
        <v>0</v>
      </c>
      <c r="G566" s="82"/>
      <c r="H566" s="53">
        <f t="shared" si="17"/>
        <v>0</v>
      </c>
      <c r="I566" s="81"/>
    </row>
    <row r="567" spans="1:9" ht="18" customHeight="1">
      <c r="A567" s="79"/>
      <c r="B567" s="80"/>
      <c r="C567" s="81"/>
      <c r="D567" s="81"/>
      <c r="E567" s="31"/>
      <c r="F567" s="63">
        <f t="shared" si="16"/>
        <v>0</v>
      </c>
      <c r="G567" s="82"/>
      <c r="H567" s="53">
        <f t="shared" si="17"/>
        <v>0</v>
      </c>
      <c r="I567" s="81"/>
    </row>
    <row r="568" spans="1:9" ht="18" customHeight="1">
      <c r="A568" s="79"/>
      <c r="B568" s="80"/>
      <c r="C568" s="81"/>
      <c r="D568" s="81"/>
      <c r="E568" s="31"/>
      <c r="F568" s="63">
        <f t="shared" si="16"/>
        <v>0</v>
      </c>
      <c r="G568" s="82"/>
      <c r="H568" s="53">
        <f t="shared" si="17"/>
        <v>0</v>
      </c>
      <c r="I568" s="81"/>
    </row>
    <row r="569" spans="1:9" ht="18" customHeight="1">
      <c r="A569" s="79"/>
      <c r="B569" s="80"/>
      <c r="C569" s="81"/>
      <c r="D569" s="81"/>
      <c r="E569" s="31"/>
      <c r="F569" s="63">
        <f t="shared" si="16"/>
        <v>0</v>
      </c>
      <c r="G569" s="82"/>
      <c r="H569" s="53">
        <f t="shared" si="17"/>
        <v>0</v>
      </c>
      <c r="I569" s="81"/>
    </row>
    <row r="570" spans="1:9" ht="18" customHeight="1">
      <c r="A570" s="79"/>
      <c r="B570" s="80"/>
      <c r="C570" s="81"/>
      <c r="D570" s="81"/>
      <c r="E570" s="31"/>
      <c r="F570" s="63">
        <f t="shared" si="16"/>
        <v>0</v>
      </c>
      <c r="G570" s="82"/>
      <c r="H570" s="53">
        <f t="shared" si="17"/>
        <v>0</v>
      </c>
      <c r="I570" s="81"/>
    </row>
    <row r="571" spans="1:9" ht="18" customHeight="1">
      <c r="A571" s="79"/>
      <c r="B571" s="80"/>
      <c r="C571" s="81"/>
      <c r="D571" s="81"/>
      <c r="E571" s="31"/>
      <c r="F571" s="63">
        <f t="shared" si="16"/>
        <v>0</v>
      </c>
      <c r="G571" s="82"/>
      <c r="H571" s="53">
        <f t="shared" si="17"/>
        <v>0</v>
      </c>
      <c r="I571" s="81"/>
    </row>
    <row r="572" spans="1:9" ht="18" customHeight="1">
      <c r="A572" s="79"/>
      <c r="B572" s="80"/>
      <c r="C572" s="81"/>
      <c r="D572" s="81"/>
      <c r="E572" s="31"/>
      <c r="F572" s="63">
        <f t="shared" si="16"/>
        <v>0</v>
      </c>
      <c r="G572" s="82"/>
      <c r="H572" s="53">
        <f t="shared" si="17"/>
        <v>0</v>
      </c>
      <c r="I572" s="81"/>
    </row>
    <row r="573" spans="1:9" ht="18" customHeight="1">
      <c r="A573" s="79"/>
      <c r="B573" s="80"/>
      <c r="C573" s="81"/>
      <c r="D573" s="81"/>
      <c r="E573" s="31"/>
      <c r="F573" s="63">
        <f t="shared" si="16"/>
        <v>0</v>
      </c>
      <c r="G573" s="82"/>
      <c r="H573" s="53">
        <f t="shared" si="17"/>
        <v>0</v>
      </c>
      <c r="I573" s="81"/>
    </row>
    <row r="574" spans="1:9" ht="18" customHeight="1">
      <c r="A574" s="79"/>
      <c r="B574" s="80"/>
      <c r="C574" s="81"/>
      <c r="D574" s="81"/>
      <c r="E574" s="31"/>
      <c r="F574" s="63">
        <f t="shared" si="16"/>
        <v>0</v>
      </c>
      <c r="G574" s="82"/>
      <c r="H574" s="53">
        <f t="shared" si="17"/>
        <v>0</v>
      </c>
      <c r="I574" s="81"/>
    </row>
    <row r="575" spans="1:9" ht="18" customHeight="1">
      <c r="A575" s="79"/>
      <c r="B575" s="80"/>
      <c r="C575" s="81"/>
      <c r="D575" s="81"/>
      <c r="E575" s="31"/>
      <c r="F575" s="63">
        <f t="shared" si="16"/>
        <v>0</v>
      </c>
      <c r="G575" s="82"/>
      <c r="H575" s="53">
        <f t="shared" si="17"/>
        <v>0</v>
      </c>
      <c r="I575" s="81"/>
    </row>
    <row r="576" spans="1:9" ht="18" customHeight="1">
      <c r="A576" s="79"/>
      <c r="B576" s="80"/>
      <c r="C576" s="81"/>
      <c r="D576" s="81"/>
      <c r="E576" s="31"/>
      <c r="F576" s="63">
        <f t="shared" si="16"/>
        <v>0</v>
      </c>
      <c r="G576" s="82"/>
      <c r="H576" s="53">
        <f t="shared" si="17"/>
        <v>0</v>
      </c>
      <c r="I576" s="81"/>
    </row>
    <row r="577" spans="1:9" ht="18" customHeight="1">
      <c r="A577" s="79"/>
      <c r="B577" s="80"/>
      <c r="C577" s="81"/>
      <c r="D577" s="81"/>
      <c r="E577" s="31"/>
      <c r="F577" s="63">
        <f t="shared" si="16"/>
        <v>0</v>
      </c>
      <c r="G577" s="82"/>
      <c r="H577" s="53">
        <f t="shared" si="17"/>
        <v>0</v>
      </c>
      <c r="I577" s="81"/>
    </row>
    <row r="578" spans="1:9" ht="18" customHeight="1">
      <c r="A578" s="79"/>
      <c r="B578" s="80"/>
      <c r="C578" s="81"/>
      <c r="D578" s="81"/>
      <c r="E578" s="31"/>
      <c r="F578" s="63">
        <f t="shared" si="16"/>
        <v>0</v>
      </c>
      <c r="G578" s="82"/>
      <c r="H578" s="53">
        <f t="shared" si="17"/>
        <v>0</v>
      </c>
      <c r="I578" s="81"/>
    </row>
    <row r="579" spans="1:9" ht="18" customHeight="1">
      <c r="A579" s="79"/>
      <c r="B579" s="80"/>
      <c r="C579" s="81"/>
      <c r="D579" s="81"/>
      <c r="E579" s="31"/>
      <c r="F579" s="63">
        <f t="shared" si="16"/>
        <v>0</v>
      </c>
      <c r="G579" s="82"/>
      <c r="H579" s="53">
        <f t="shared" si="17"/>
        <v>0</v>
      </c>
      <c r="I579" s="81"/>
    </row>
    <row r="580" spans="1:9" ht="18" customHeight="1">
      <c r="A580" s="79"/>
      <c r="B580" s="80"/>
      <c r="C580" s="81"/>
      <c r="D580" s="81"/>
      <c r="E580" s="31"/>
      <c r="F580" s="63">
        <f t="shared" si="16"/>
        <v>0</v>
      </c>
      <c r="G580" s="82"/>
      <c r="H580" s="53">
        <f t="shared" si="17"/>
        <v>0</v>
      </c>
      <c r="I580" s="81"/>
    </row>
    <row r="581" spans="1:9" ht="18" customHeight="1">
      <c r="A581" s="79"/>
      <c r="B581" s="80"/>
      <c r="C581" s="81"/>
      <c r="D581" s="81"/>
      <c r="E581" s="31"/>
      <c r="F581" s="63">
        <f t="shared" si="16"/>
        <v>0</v>
      </c>
      <c r="G581" s="82"/>
      <c r="H581" s="53">
        <f t="shared" si="17"/>
        <v>0</v>
      </c>
      <c r="I581" s="81"/>
    </row>
    <row r="582" spans="1:9" ht="18" customHeight="1">
      <c r="A582" s="79"/>
      <c r="B582" s="80"/>
      <c r="C582" s="81"/>
      <c r="D582" s="81"/>
      <c r="E582" s="31"/>
      <c r="F582" s="63">
        <f t="shared" si="16"/>
        <v>0</v>
      </c>
      <c r="G582" s="82"/>
      <c r="H582" s="53">
        <f t="shared" si="17"/>
        <v>0</v>
      </c>
      <c r="I582" s="81"/>
    </row>
    <row r="583" spans="1:9" ht="18" customHeight="1">
      <c r="A583" s="79"/>
      <c r="B583" s="80"/>
      <c r="C583" s="81"/>
      <c r="D583" s="81"/>
      <c r="E583" s="31"/>
      <c r="F583" s="63">
        <f t="shared" ref="F583:F639" si="18">IFERROR(E583*$B$3,0)</f>
        <v>0</v>
      </c>
      <c r="G583" s="82"/>
      <c r="H583" s="53">
        <f t="shared" ref="H583:H639" si="19">IFERROR(E583+F583,0)</f>
        <v>0</v>
      </c>
      <c r="I583" s="81"/>
    </row>
    <row r="584" spans="1:9" ht="18" customHeight="1">
      <c r="A584" s="79"/>
      <c r="B584" s="80"/>
      <c r="C584" s="81"/>
      <c r="D584" s="81"/>
      <c r="E584" s="31"/>
      <c r="F584" s="63">
        <f t="shared" si="18"/>
        <v>0</v>
      </c>
      <c r="G584" s="82"/>
      <c r="H584" s="53">
        <f t="shared" si="19"/>
        <v>0</v>
      </c>
      <c r="I584" s="81"/>
    </row>
    <row r="585" spans="1:9" ht="18" customHeight="1">
      <c r="A585" s="79"/>
      <c r="B585" s="80"/>
      <c r="C585" s="81"/>
      <c r="D585" s="81"/>
      <c r="E585" s="31"/>
      <c r="F585" s="63">
        <f t="shared" si="18"/>
        <v>0</v>
      </c>
      <c r="G585" s="82"/>
      <c r="H585" s="53">
        <f t="shared" si="19"/>
        <v>0</v>
      </c>
      <c r="I585" s="81"/>
    </row>
    <row r="586" spans="1:9" ht="18" customHeight="1">
      <c r="A586" s="79"/>
      <c r="B586" s="80"/>
      <c r="C586" s="81"/>
      <c r="D586" s="81"/>
      <c r="E586" s="31"/>
      <c r="F586" s="63">
        <f t="shared" si="18"/>
        <v>0</v>
      </c>
      <c r="G586" s="82"/>
      <c r="H586" s="53">
        <f t="shared" si="19"/>
        <v>0</v>
      </c>
      <c r="I586" s="81"/>
    </row>
    <row r="587" spans="1:9" ht="18" customHeight="1">
      <c r="A587" s="79"/>
      <c r="B587" s="80"/>
      <c r="C587" s="81"/>
      <c r="D587" s="81"/>
      <c r="E587" s="31"/>
      <c r="F587" s="63">
        <f t="shared" si="18"/>
        <v>0</v>
      </c>
      <c r="G587" s="82"/>
      <c r="H587" s="53">
        <f t="shared" si="19"/>
        <v>0</v>
      </c>
      <c r="I587" s="81"/>
    </row>
    <row r="588" spans="1:9" ht="18" customHeight="1">
      <c r="A588" s="79"/>
      <c r="B588" s="80"/>
      <c r="C588" s="81"/>
      <c r="D588" s="81"/>
      <c r="E588" s="31"/>
      <c r="F588" s="63">
        <f t="shared" si="18"/>
        <v>0</v>
      </c>
      <c r="G588" s="82"/>
      <c r="H588" s="53">
        <f t="shared" si="19"/>
        <v>0</v>
      </c>
      <c r="I588" s="81"/>
    </row>
    <row r="589" spans="1:9" ht="18" customHeight="1">
      <c r="A589" s="79"/>
      <c r="B589" s="80"/>
      <c r="C589" s="81"/>
      <c r="D589" s="81"/>
      <c r="E589" s="31"/>
      <c r="F589" s="63">
        <f t="shared" si="18"/>
        <v>0</v>
      </c>
      <c r="G589" s="82"/>
      <c r="H589" s="53">
        <f t="shared" si="19"/>
        <v>0</v>
      </c>
      <c r="I589" s="81"/>
    </row>
    <row r="590" spans="1:9" ht="18" customHeight="1">
      <c r="A590" s="79"/>
      <c r="B590" s="80"/>
      <c r="C590" s="81"/>
      <c r="D590" s="81"/>
      <c r="E590" s="31"/>
      <c r="F590" s="63">
        <f t="shared" si="18"/>
        <v>0</v>
      </c>
      <c r="G590" s="82"/>
      <c r="H590" s="53">
        <f t="shared" si="19"/>
        <v>0</v>
      </c>
      <c r="I590" s="81"/>
    </row>
    <row r="591" spans="1:9" ht="18" customHeight="1">
      <c r="A591" s="79"/>
      <c r="B591" s="80"/>
      <c r="C591" s="81"/>
      <c r="D591" s="81"/>
      <c r="E591" s="31"/>
      <c r="F591" s="63">
        <f t="shared" si="18"/>
        <v>0</v>
      </c>
      <c r="G591" s="82"/>
      <c r="H591" s="53">
        <f t="shared" si="19"/>
        <v>0</v>
      </c>
      <c r="I591" s="81"/>
    </row>
    <row r="592" spans="1:9" ht="18" customHeight="1">
      <c r="A592" s="79"/>
      <c r="B592" s="80"/>
      <c r="C592" s="81"/>
      <c r="D592" s="81"/>
      <c r="E592" s="31"/>
      <c r="F592" s="63">
        <f t="shared" si="18"/>
        <v>0</v>
      </c>
      <c r="G592" s="82"/>
      <c r="H592" s="53">
        <f t="shared" si="19"/>
        <v>0</v>
      </c>
      <c r="I592" s="81"/>
    </row>
    <row r="593" spans="1:9" ht="18" customHeight="1">
      <c r="A593" s="79"/>
      <c r="B593" s="80"/>
      <c r="C593" s="81"/>
      <c r="D593" s="81"/>
      <c r="E593" s="31"/>
      <c r="F593" s="63">
        <f t="shared" si="18"/>
        <v>0</v>
      </c>
      <c r="G593" s="82"/>
      <c r="H593" s="53">
        <f t="shared" si="19"/>
        <v>0</v>
      </c>
      <c r="I593" s="81"/>
    </row>
    <row r="594" spans="1:9" ht="18" customHeight="1">
      <c r="A594" s="79"/>
      <c r="B594" s="80"/>
      <c r="C594" s="81"/>
      <c r="D594" s="81"/>
      <c r="E594" s="31"/>
      <c r="F594" s="63">
        <f t="shared" si="18"/>
        <v>0</v>
      </c>
      <c r="G594" s="82"/>
      <c r="H594" s="53">
        <f t="shared" si="19"/>
        <v>0</v>
      </c>
      <c r="I594" s="81"/>
    </row>
    <row r="595" spans="1:9" ht="18" customHeight="1">
      <c r="A595" s="79"/>
      <c r="B595" s="80"/>
      <c r="C595" s="81"/>
      <c r="D595" s="81"/>
      <c r="E595" s="31"/>
      <c r="F595" s="63">
        <f t="shared" si="18"/>
        <v>0</v>
      </c>
      <c r="G595" s="82"/>
      <c r="H595" s="53">
        <f t="shared" si="19"/>
        <v>0</v>
      </c>
      <c r="I595" s="81"/>
    </row>
    <row r="596" spans="1:9" ht="18" customHeight="1">
      <c r="A596" s="79"/>
      <c r="B596" s="80"/>
      <c r="C596" s="81"/>
      <c r="D596" s="81"/>
      <c r="E596" s="31"/>
      <c r="F596" s="63">
        <f t="shared" si="18"/>
        <v>0</v>
      </c>
      <c r="G596" s="82"/>
      <c r="H596" s="53">
        <f t="shared" si="19"/>
        <v>0</v>
      </c>
      <c r="I596" s="81"/>
    </row>
    <row r="597" spans="1:9" ht="18" customHeight="1">
      <c r="A597" s="79"/>
      <c r="B597" s="80"/>
      <c r="C597" s="81"/>
      <c r="D597" s="81"/>
      <c r="E597" s="31"/>
      <c r="F597" s="63">
        <f t="shared" si="18"/>
        <v>0</v>
      </c>
      <c r="G597" s="82"/>
      <c r="H597" s="53">
        <f t="shared" si="19"/>
        <v>0</v>
      </c>
      <c r="I597" s="81"/>
    </row>
    <row r="598" spans="1:9" ht="18" customHeight="1">
      <c r="A598" s="79"/>
      <c r="B598" s="80"/>
      <c r="C598" s="81"/>
      <c r="D598" s="81"/>
      <c r="E598" s="31"/>
      <c r="F598" s="63">
        <f t="shared" si="18"/>
        <v>0</v>
      </c>
      <c r="G598" s="82"/>
      <c r="H598" s="53">
        <f t="shared" si="19"/>
        <v>0</v>
      </c>
      <c r="I598" s="81"/>
    </row>
    <row r="599" spans="1:9" ht="18" customHeight="1">
      <c r="A599" s="79"/>
      <c r="B599" s="80"/>
      <c r="C599" s="81"/>
      <c r="D599" s="81"/>
      <c r="E599" s="31"/>
      <c r="F599" s="63">
        <f t="shared" si="18"/>
        <v>0</v>
      </c>
      <c r="G599" s="82"/>
      <c r="H599" s="53">
        <f t="shared" si="19"/>
        <v>0</v>
      </c>
      <c r="I599" s="81"/>
    </row>
    <row r="600" spans="1:9" ht="18" customHeight="1">
      <c r="A600" s="79"/>
      <c r="B600" s="80"/>
      <c r="C600" s="81"/>
      <c r="D600" s="81"/>
      <c r="E600" s="31"/>
      <c r="F600" s="63">
        <f t="shared" si="18"/>
        <v>0</v>
      </c>
      <c r="G600" s="82"/>
      <c r="H600" s="53">
        <f t="shared" si="19"/>
        <v>0</v>
      </c>
      <c r="I600" s="81"/>
    </row>
    <row r="601" spans="1:9" ht="18" customHeight="1">
      <c r="A601" s="79"/>
      <c r="B601" s="80"/>
      <c r="C601" s="81"/>
      <c r="D601" s="81"/>
      <c r="E601" s="31"/>
      <c r="F601" s="63">
        <f t="shared" si="18"/>
        <v>0</v>
      </c>
      <c r="G601" s="82"/>
      <c r="H601" s="53">
        <f t="shared" si="19"/>
        <v>0</v>
      </c>
      <c r="I601" s="81"/>
    </row>
    <row r="602" spans="1:9" ht="18" customHeight="1">
      <c r="A602" s="79"/>
      <c r="B602" s="80"/>
      <c r="C602" s="81"/>
      <c r="D602" s="81"/>
      <c r="E602" s="31"/>
      <c r="F602" s="63">
        <f t="shared" si="18"/>
        <v>0</v>
      </c>
      <c r="G602" s="82"/>
      <c r="H602" s="53">
        <f t="shared" si="19"/>
        <v>0</v>
      </c>
      <c r="I602" s="81"/>
    </row>
    <row r="603" spans="1:9" ht="18" customHeight="1">
      <c r="A603" s="79"/>
      <c r="B603" s="80"/>
      <c r="C603" s="81"/>
      <c r="D603" s="81"/>
      <c r="E603" s="31"/>
      <c r="F603" s="63">
        <f t="shared" si="18"/>
        <v>0</v>
      </c>
      <c r="G603" s="82"/>
      <c r="H603" s="53">
        <f t="shared" si="19"/>
        <v>0</v>
      </c>
      <c r="I603" s="81"/>
    </row>
    <row r="604" spans="1:9" ht="18" customHeight="1">
      <c r="A604" s="79"/>
      <c r="B604" s="80"/>
      <c r="C604" s="81"/>
      <c r="D604" s="81"/>
      <c r="E604" s="31"/>
      <c r="F604" s="63">
        <f t="shared" si="18"/>
        <v>0</v>
      </c>
      <c r="G604" s="82"/>
      <c r="H604" s="53">
        <f t="shared" si="19"/>
        <v>0</v>
      </c>
      <c r="I604" s="81"/>
    </row>
    <row r="605" spans="1:9" ht="18" customHeight="1">
      <c r="A605" s="79"/>
      <c r="B605" s="80"/>
      <c r="C605" s="81"/>
      <c r="D605" s="81"/>
      <c r="E605" s="31"/>
      <c r="F605" s="63">
        <f t="shared" si="18"/>
        <v>0</v>
      </c>
      <c r="G605" s="82"/>
      <c r="H605" s="53">
        <f t="shared" si="19"/>
        <v>0</v>
      </c>
      <c r="I605" s="81"/>
    </row>
    <row r="606" spans="1:9" ht="18" customHeight="1">
      <c r="A606" s="79"/>
      <c r="B606" s="80"/>
      <c r="C606" s="81"/>
      <c r="D606" s="81"/>
      <c r="E606" s="31"/>
      <c r="F606" s="63">
        <f t="shared" si="18"/>
        <v>0</v>
      </c>
      <c r="G606" s="82"/>
      <c r="H606" s="53">
        <f t="shared" si="19"/>
        <v>0</v>
      </c>
      <c r="I606" s="81"/>
    </row>
    <row r="607" spans="1:9" ht="18" customHeight="1">
      <c r="A607" s="79"/>
      <c r="B607" s="80"/>
      <c r="C607" s="81"/>
      <c r="D607" s="81"/>
      <c r="E607" s="31"/>
      <c r="F607" s="63">
        <f t="shared" si="18"/>
        <v>0</v>
      </c>
      <c r="G607" s="82"/>
      <c r="H607" s="53">
        <f t="shared" si="19"/>
        <v>0</v>
      </c>
      <c r="I607" s="81"/>
    </row>
    <row r="608" spans="1:9" ht="18" customHeight="1">
      <c r="A608" s="79"/>
      <c r="B608" s="80"/>
      <c r="C608" s="81"/>
      <c r="D608" s="81"/>
      <c r="E608" s="31"/>
      <c r="F608" s="63">
        <f t="shared" si="18"/>
        <v>0</v>
      </c>
      <c r="G608" s="82"/>
      <c r="H608" s="53">
        <f t="shared" si="19"/>
        <v>0</v>
      </c>
      <c r="I608" s="81"/>
    </row>
    <row r="609" spans="1:9" ht="18" customHeight="1">
      <c r="A609" s="79"/>
      <c r="B609" s="80"/>
      <c r="C609" s="81"/>
      <c r="D609" s="81"/>
      <c r="E609" s="31"/>
      <c r="F609" s="63">
        <f t="shared" si="18"/>
        <v>0</v>
      </c>
      <c r="G609" s="82"/>
      <c r="H609" s="53">
        <f t="shared" si="19"/>
        <v>0</v>
      </c>
      <c r="I609" s="81"/>
    </row>
    <row r="610" spans="1:9" ht="18" customHeight="1">
      <c r="A610" s="79"/>
      <c r="B610" s="80"/>
      <c r="C610" s="81"/>
      <c r="D610" s="81"/>
      <c r="E610" s="31"/>
      <c r="F610" s="63">
        <f t="shared" si="18"/>
        <v>0</v>
      </c>
      <c r="G610" s="82"/>
      <c r="H610" s="53">
        <f t="shared" si="19"/>
        <v>0</v>
      </c>
      <c r="I610" s="81"/>
    </row>
    <row r="611" spans="1:9" ht="18" customHeight="1">
      <c r="A611" s="79"/>
      <c r="B611" s="80"/>
      <c r="C611" s="81"/>
      <c r="D611" s="81"/>
      <c r="E611" s="31"/>
      <c r="F611" s="63">
        <f t="shared" si="18"/>
        <v>0</v>
      </c>
      <c r="G611" s="82"/>
      <c r="H611" s="53">
        <f t="shared" si="19"/>
        <v>0</v>
      </c>
      <c r="I611" s="81"/>
    </row>
    <row r="612" spans="1:9" ht="18" customHeight="1">
      <c r="A612" s="79"/>
      <c r="B612" s="80"/>
      <c r="C612" s="81"/>
      <c r="D612" s="81"/>
      <c r="E612" s="31"/>
      <c r="F612" s="63">
        <f t="shared" si="18"/>
        <v>0</v>
      </c>
      <c r="G612" s="82"/>
      <c r="H612" s="53">
        <f t="shared" si="19"/>
        <v>0</v>
      </c>
      <c r="I612" s="81"/>
    </row>
    <row r="613" spans="1:9" ht="18" customHeight="1">
      <c r="A613" s="79"/>
      <c r="B613" s="80"/>
      <c r="C613" s="81"/>
      <c r="D613" s="81"/>
      <c r="E613" s="31"/>
      <c r="F613" s="63">
        <f t="shared" si="18"/>
        <v>0</v>
      </c>
      <c r="G613" s="82"/>
      <c r="H613" s="53">
        <f t="shared" si="19"/>
        <v>0</v>
      </c>
      <c r="I613" s="81"/>
    </row>
    <row r="614" spans="1:9" ht="18" customHeight="1">
      <c r="A614" s="79"/>
      <c r="B614" s="80"/>
      <c r="C614" s="81"/>
      <c r="D614" s="81"/>
      <c r="E614" s="31"/>
      <c r="F614" s="63">
        <f t="shared" si="18"/>
        <v>0</v>
      </c>
      <c r="G614" s="82"/>
      <c r="H614" s="53">
        <f t="shared" si="19"/>
        <v>0</v>
      </c>
      <c r="I614" s="81"/>
    </row>
    <row r="615" spans="1:9" ht="18" customHeight="1">
      <c r="A615" s="79"/>
      <c r="B615" s="80"/>
      <c r="C615" s="81"/>
      <c r="D615" s="81"/>
      <c r="E615" s="31"/>
      <c r="F615" s="63">
        <f t="shared" si="18"/>
        <v>0</v>
      </c>
      <c r="G615" s="82"/>
      <c r="H615" s="53">
        <f t="shared" si="19"/>
        <v>0</v>
      </c>
      <c r="I615" s="81"/>
    </row>
    <row r="616" spans="1:9" ht="18" customHeight="1">
      <c r="A616" s="79"/>
      <c r="B616" s="80"/>
      <c r="C616" s="81"/>
      <c r="D616" s="81"/>
      <c r="E616" s="31"/>
      <c r="F616" s="63">
        <f t="shared" si="18"/>
        <v>0</v>
      </c>
      <c r="G616" s="82"/>
      <c r="H616" s="53">
        <f t="shared" si="19"/>
        <v>0</v>
      </c>
      <c r="I616" s="81"/>
    </row>
    <row r="617" spans="1:9" ht="18" customHeight="1">
      <c r="A617" s="79"/>
      <c r="B617" s="80"/>
      <c r="C617" s="81"/>
      <c r="D617" s="81"/>
      <c r="E617" s="31"/>
      <c r="F617" s="63">
        <f t="shared" si="18"/>
        <v>0</v>
      </c>
      <c r="G617" s="82"/>
      <c r="H617" s="53">
        <f t="shared" si="19"/>
        <v>0</v>
      </c>
      <c r="I617" s="81"/>
    </row>
    <row r="618" spans="1:9" ht="18" customHeight="1">
      <c r="A618" s="79"/>
      <c r="B618" s="80"/>
      <c r="C618" s="81"/>
      <c r="D618" s="81"/>
      <c r="E618" s="31"/>
      <c r="F618" s="63">
        <f t="shared" si="18"/>
        <v>0</v>
      </c>
      <c r="G618" s="82"/>
      <c r="H618" s="53">
        <f t="shared" si="19"/>
        <v>0</v>
      </c>
      <c r="I618" s="81"/>
    </row>
    <row r="619" spans="1:9" ht="18" customHeight="1">
      <c r="A619" s="79"/>
      <c r="B619" s="80"/>
      <c r="C619" s="81"/>
      <c r="D619" s="81"/>
      <c r="E619" s="31"/>
      <c r="F619" s="63">
        <f t="shared" si="18"/>
        <v>0</v>
      </c>
      <c r="G619" s="82"/>
      <c r="H619" s="53">
        <f t="shared" si="19"/>
        <v>0</v>
      </c>
      <c r="I619" s="81"/>
    </row>
    <row r="620" spans="1:9" ht="18" customHeight="1">
      <c r="A620" s="79"/>
      <c r="B620" s="80"/>
      <c r="C620" s="81"/>
      <c r="D620" s="81"/>
      <c r="E620" s="31"/>
      <c r="F620" s="63">
        <f t="shared" si="18"/>
        <v>0</v>
      </c>
      <c r="G620" s="82"/>
      <c r="H620" s="53">
        <f t="shared" si="19"/>
        <v>0</v>
      </c>
      <c r="I620" s="81"/>
    </row>
    <row r="621" spans="1:9" ht="18" customHeight="1">
      <c r="A621" s="79"/>
      <c r="B621" s="80"/>
      <c r="C621" s="81"/>
      <c r="D621" s="81"/>
      <c r="E621" s="31"/>
      <c r="F621" s="63">
        <f t="shared" si="18"/>
        <v>0</v>
      </c>
      <c r="G621" s="82"/>
      <c r="H621" s="53">
        <f t="shared" si="19"/>
        <v>0</v>
      </c>
      <c r="I621" s="81"/>
    </row>
    <row r="622" spans="1:9" ht="18" customHeight="1">
      <c r="A622" s="79"/>
      <c r="B622" s="80"/>
      <c r="C622" s="81"/>
      <c r="D622" s="81"/>
      <c r="E622" s="31"/>
      <c r="F622" s="63">
        <f t="shared" si="18"/>
        <v>0</v>
      </c>
      <c r="G622" s="82"/>
      <c r="H622" s="53">
        <f t="shared" si="19"/>
        <v>0</v>
      </c>
      <c r="I622" s="81"/>
    </row>
    <row r="623" spans="1:9" ht="18" customHeight="1">
      <c r="A623" s="79"/>
      <c r="B623" s="80"/>
      <c r="C623" s="81"/>
      <c r="D623" s="81"/>
      <c r="E623" s="31"/>
      <c r="F623" s="63">
        <f t="shared" si="18"/>
        <v>0</v>
      </c>
      <c r="G623" s="82"/>
      <c r="H623" s="53">
        <f t="shared" si="19"/>
        <v>0</v>
      </c>
      <c r="I623" s="81"/>
    </row>
    <row r="624" spans="1:9" ht="18" customHeight="1">
      <c r="A624" s="79"/>
      <c r="B624" s="80"/>
      <c r="C624" s="81"/>
      <c r="D624" s="81"/>
      <c r="E624" s="31"/>
      <c r="F624" s="63">
        <f t="shared" si="18"/>
        <v>0</v>
      </c>
      <c r="G624" s="82"/>
      <c r="H624" s="53">
        <f t="shared" si="19"/>
        <v>0</v>
      </c>
      <c r="I624" s="81"/>
    </row>
    <row r="625" spans="1:9" ht="18" customHeight="1">
      <c r="A625" s="79"/>
      <c r="B625" s="80"/>
      <c r="C625" s="81"/>
      <c r="D625" s="81"/>
      <c r="E625" s="31"/>
      <c r="F625" s="63">
        <f t="shared" si="18"/>
        <v>0</v>
      </c>
      <c r="G625" s="82"/>
      <c r="H625" s="53">
        <f t="shared" si="19"/>
        <v>0</v>
      </c>
      <c r="I625" s="81"/>
    </row>
    <row r="626" spans="1:9" ht="18" customHeight="1">
      <c r="A626" s="79"/>
      <c r="B626" s="80"/>
      <c r="C626" s="81"/>
      <c r="D626" s="81"/>
      <c r="E626" s="31"/>
      <c r="F626" s="63">
        <f t="shared" si="18"/>
        <v>0</v>
      </c>
      <c r="G626" s="82"/>
      <c r="H626" s="53">
        <f t="shared" si="19"/>
        <v>0</v>
      </c>
      <c r="I626" s="81"/>
    </row>
    <row r="627" spans="1:9" ht="18" customHeight="1">
      <c r="A627" s="79"/>
      <c r="B627" s="80"/>
      <c r="C627" s="81"/>
      <c r="D627" s="81"/>
      <c r="E627" s="31"/>
      <c r="F627" s="63">
        <f t="shared" si="18"/>
        <v>0</v>
      </c>
      <c r="G627" s="82"/>
      <c r="H627" s="53">
        <f t="shared" si="19"/>
        <v>0</v>
      </c>
      <c r="I627" s="81"/>
    </row>
    <row r="628" spans="1:9" ht="18" customHeight="1">
      <c r="A628" s="79"/>
      <c r="B628" s="80"/>
      <c r="C628" s="81"/>
      <c r="D628" s="81"/>
      <c r="E628" s="31"/>
      <c r="F628" s="63">
        <f t="shared" si="18"/>
        <v>0</v>
      </c>
      <c r="G628" s="82"/>
      <c r="H628" s="53">
        <f t="shared" si="19"/>
        <v>0</v>
      </c>
      <c r="I628" s="81"/>
    </row>
    <row r="629" spans="1:9" ht="18" customHeight="1">
      <c r="A629" s="79"/>
      <c r="B629" s="80"/>
      <c r="C629" s="81"/>
      <c r="D629" s="81"/>
      <c r="E629" s="31"/>
      <c r="F629" s="63">
        <f t="shared" si="18"/>
        <v>0</v>
      </c>
      <c r="G629" s="82"/>
      <c r="H629" s="53">
        <f t="shared" si="19"/>
        <v>0</v>
      </c>
      <c r="I629" s="81"/>
    </row>
    <row r="630" spans="1:9" ht="18" customHeight="1">
      <c r="A630" s="79"/>
      <c r="B630" s="80"/>
      <c r="C630" s="81"/>
      <c r="D630" s="81"/>
      <c r="E630" s="31"/>
      <c r="F630" s="63">
        <f t="shared" si="18"/>
        <v>0</v>
      </c>
      <c r="G630" s="82"/>
      <c r="H630" s="53">
        <f t="shared" si="19"/>
        <v>0</v>
      </c>
      <c r="I630" s="81"/>
    </row>
    <row r="631" spans="1:9" ht="18" customHeight="1">
      <c r="A631" s="79"/>
      <c r="B631" s="80"/>
      <c r="C631" s="81"/>
      <c r="D631" s="81"/>
      <c r="E631" s="31"/>
      <c r="F631" s="63">
        <f t="shared" si="18"/>
        <v>0</v>
      </c>
      <c r="G631" s="82"/>
      <c r="H631" s="53">
        <f t="shared" si="19"/>
        <v>0</v>
      </c>
      <c r="I631" s="81"/>
    </row>
    <row r="632" spans="1:9" ht="18" customHeight="1">
      <c r="A632" s="79"/>
      <c r="B632" s="80"/>
      <c r="C632" s="81"/>
      <c r="D632" s="81"/>
      <c r="E632" s="31"/>
      <c r="F632" s="63">
        <f t="shared" si="18"/>
        <v>0</v>
      </c>
      <c r="G632" s="82"/>
      <c r="H632" s="53">
        <f t="shared" si="19"/>
        <v>0</v>
      </c>
      <c r="I632" s="81"/>
    </row>
    <row r="633" spans="1:9" ht="18" customHeight="1">
      <c r="A633" s="79"/>
      <c r="B633" s="80"/>
      <c r="C633" s="81"/>
      <c r="D633" s="81"/>
      <c r="E633" s="31"/>
      <c r="F633" s="63">
        <f t="shared" si="18"/>
        <v>0</v>
      </c>
      <c r="G633" s="82"/>
      <c r="H633" s="53">
        <f t="shared" si="19"/>
        <v>0</v>
      </c>
      <c r="I633" s="81"/>
    </row>
    <row r="634" spans="1:9" ht="18" customHeight="1">
      <c r="A634" s="79"/>
      <c r="B634" s="80"/>
      <c r="C634" s="81"/>
      <c r="D634" s="81"/>
      <c r="E634" s="31"/>
      <c r="F634" s="63">
        <f t="shared" si="18"/>
        <v>0</v>
      </c>
      <c r="G634" s="82"/>
      <c r="H634" s="53">
        <f t="shared" si="19"/>
        <v>0</v>
      </c>
      <c r="I634" s="81"/>
    </row>
    <row r="635" spans="1:9" ht="18" customHeight="1">
      <c r="A635" s="79"/>
      <c r="B635" s="80"/>
      <c r="C635" s="81"/>
      <c r="D635" s="81"/>
      <c r="E635" s="31"/>
      <c r="F635" s="63">
        <f t="shared" si="18"/>
        <v>0</v>
      </c>
      <c r="G635" s="82"/>
      <c r="H635" s="53">
        <f t="shared" si="19"/>
        <v>0</v>
      </c>
      <c r="I635" s="81"/>
    </row>
    <row r="636" spans="1:9" ht="18" customHeight="1">
      <c r="A636" s="79"/>
      <c r="B636" s="80"/>
      <c r="C636" s="81"/>
      <c r="D636" s="81"/>
      <c r="E636" s="31"/>
      <c r="F636" s="63">
        <f t="shared" si="18"/>
        <v>0</v>
      </c>
      <c r="G636" s="82"/>
      <c r="H636" s="53">
        <f t="shared" si="19"/>
        <v>0</v>
      </c>
      <c r="I636" s="81"/>
    </row>
    <row r="637" spans="1:9" ht="18" customHeight="1">
      <c r="A637" s="79"/>
      <c r="B637" s="80"/>
      <c r="C637" s="81"/>
      <c r="D637" s="81"/>
      <c r="E637" s="31"/>
      <c r="F637" s="63">
        <f t="shared" si="18"/>
        <v>0</v>
      </c>
      <c r="G637" s="82"/>
      <c r="H637" s="53">
        <f t="shared" si="19"/>
        <v>0</v>
      </c>
      <c r="I637" s="81"/>
    </row>
    <row r="638" spans="1:9" ht="18" customHeight="1">
      <c r="A638" s="79"/>
      <c r="B638" s="80"/>
      <c r="C638" s="81"/>
      <c r="D638" s="81"/>
      <c r="E638" s="31"/>
      <c r="F638" s="63">
        <f t="shared" si="18"/>
        <v>0</v>
      </c>
      <c r="G638" s="82"/>
      <c r="H638" s="53">
        <f t="shared" si="19"/>
        <v>0</v>
      </c>
      <c r="I638" s="81"/>
    </row>
    <row r="639" spans="1:9" ht="18" customHeight="1">
      <c r="A639" s="79"/>
      <c r="B639" s="80"/>
      <c r="C639" s="81"/>
      <c r="D639" s="81"/>
      <c r="E639" s="31"/>
      <c r="F639" s="63">
        <f t="shared" si="18"/>
        <v>0</v>
      </c>
      <c r="G639" s="82"/>
      <c r="H639" s="53">
        <f t="shared" si="19"/>
        <v>0</v>
      </c>
      <c r="I639" s="81"/>
    </row>
    <row r="640" spans="1:9" ht="15" customHeight="1">
      <c r="A640" s="57"/>
      <c r="B640" s="57"/>
      <c r="C640" s="58" t="s">
        <v>484</v>
      </c>
      <c r="D640" s="57"/>
      <c r="E640" s="32">
        <f>SUM(E7:E639)</f>
        <v>0</v>
      </c>
      <c r="F640" s="32">
        <f>SUM(F7:F639)</f>
        <v>0</v>
      </c>
      <c r="G640" s="57"/>
      <c r="H640" s="32">
        <f>SUM(H7:H639)</f>
        <v>0</v>
      </c>
      <c r="I640" s="57"/>
    </row>
    <row r="642" spans="1:9" ht="21.75" customHeight="1">
      <c r="A642" s="119" t="s">
        <v>485</v>
      </c>
      <c r="B642" s="119"/>
      <c r="C642" s="119"/>
      <c r="D642" s="119"/>
      <c r="E642" s="119"/>
      <c r="F642" s="119"/>
      <c r="G642" s="119"/>
      <c r="H642" s="119"/>
      <c r="I642" s="119"/>
    </row>
    <row r="643" spans="1:9" ht="15" customHeight="1">
      <c r="A643" s="24" t="s">
        <v>475</v>
      </c>
      <c r="B643" s="24" t="s">
        <v>476</v>
      </c>
      <c r="C643" s="24" t="s">
        <v>486</v>
      </c>
      <c r="D643" s="24" t="s">
        <v>478</v>
      </c>
      <c r="E643" s="24" t="s">
        <v>479</v>
      </c>
      <c r="F643" s="24" t="s">
        <v>480</v>
      </c>
      <c r="H643" s="24" t="s">
        <v>481</v>
      </c>
      <c r="I643" s="24" t="s">
        <v>94</v>
      </c>
    </row>
    <row r="644" spans="1:9" ht="18" customHeight="1">
      <c r="A644" s="79">
        <v>46023</v>
      </c>
      <c r="B644" s="81" t="s">
        <v>487</v>
      </c>
      <c r="C644" s="81" t="s">
        <v>483</v>
      </c>
      <c r="D644" s="81"/>
      <c r="E644" s="31">
        <v>118.6</v>
      </c>
      <c r="F644" s="63">
        <f t="shared" ref="F644:F675" si="20">IFERROR(E644*$B$3,0)</f>
        <v>17.79</v>
      </c>
      <c r="G644" s="82"/>
      <c r="H644" s="53">
        <f t="shared" ref="H644:H675" si="21">IFERROR(E644+F644,0)</f>
        <v>136.38999999999999</v>
      </c>
      <c r="I644" s="81"/>
    </row>
    <row r="645" spans="1:9" ht="18" customHeight="1">
      <c r="A645" s="79">
        <v>46023</v>
      </c>
      <c r="B645" s="83" t="s">
        <v>488</v>
      </c>
      <c r="C645" s="83" t="s">
        <v>489</v>
      </c>
      <c r="D645" s="83"/>
      <c r="E645" s="31">
        <v>460.11</v>
      </c>
      <c r="F645" s="63">
        <f t="shared" si="20"/>
        <v>69.016499999999994</v>
      </c>
      <c r="G645" s="84"/>
      <c r="H645" s="53">
        <f t="shared" si="21"/>
        <v>529.12649999999996</v>
      </c>
      <c r="I645" s="83"/>
    </row>
    <row r="646" spans="1:9" ht="18" customHeight="1">
      <c r="A646" s="79">
        <v>46024</v>
      </c>
      <c r="B646" s="81" t="s">
        <v>490</v>
      </c>
      <c r="C646" s="81" t="s">
        <v>491</v>
      </c>
      <c r="D646" s="81"/>
      <c r="E646" s="31">
        <v>26.09</v>
      </c>
      <c r="F646" s="63">
        <f t="shared" si="20"/>
        <v>3.9135</v>
      </c>
      <c r="G646" s="82"/>
      <c r="H646" s="53">
        <f t="shared" si="21"/>
        <v>30.003499999999999</v>
      </c>
      <c r="I646" s="81"/>
    </row>
    <row r="647" spans="1:9" ht="18" customHeight="1">
      <c r="A647" s="79">
        <v>46025</v>
      </c>
      <c r="B647" s="83" t="s">
        <v>492</v>
      </c>
      <c r="C647" s="83" t="s">
        <v>489</v>
      </c>
      <c r="D647" s="83"/>
      <c r="E647" s="31">
        <v>200</v>
      </c>
      <c r="F647" s="63">
        <f t="shared" si="20"/>
        <v>30</v>
      </c>
      <c r="G647" s="84"/>
      <c r="H647" s="53">
        <f t="shared" si="21"/>
        <v>230</v>
      </c>
      <c r="I647" s="83"/>
    </row>
    <row r="648" spans="1:9" ht="18" customHeight="1">
      <c r="A648" s="79">
        <v>46025</v>
      </c>
      <c r="B648" s="81" t="s">
        <v>493</v>
      </c>
      <c r="C648" s="81" t="s">
        <v>494</v>
      </c>
      <c r="D648" s="81"/>
      <c r="E648" s="31">
        <v>904.42</v>
      </c>
      <c r="F648" s="63">
        <f t="shared" si="20"/>
        <v>135.66299999999998</v>
      </c>
      <c r="G648" s="82"/>
      <c r="H648" s="53">
        <f t="shared" si="21"/>
        <v>1040.0829999999999</v>
      </c>
      <c r="I648" s="81"/>
    </row>
    <row r="649" spans="1:9" ht="18" customHeight="1">
      <c r="A649" s="79">
        <v>46026</v>
      </c>
      <c r="B649" s="83" t="s">
        <v>495</v>
      </c>
      <c r="C649" s="83" t="s">
        <v>496</v>
      </c>
      <c r="D649" s="83"/>
      <c r="E649" s="31">
        <v>2233.5</v>
      </c>
      <c r="F649" s="63">
        <f t="shared" si="20"/>
        <v>335.02499999999998</v>
      </c>
      <c r="G649" s="84"/>
      <c r="H649" s="53">
        <f t="shared" si="21"/>
        <v>2568.5250000000001</v>
      </c>
      <c r="I649" s="83"/>
    </row>
    <row r="650" spans="1:9" ht="18" customHeight="1">
      <c r="A650" s="79">
        <v>46028</v>
      </c>
      <c r="B650" s="81" t="s">
        <v>497</v>
      </c>
      <c r="C650" s="81" t="s">
        <v>498</v>
      </c>
      <c r="D650" s="81"/>
      <c r="E650" s="31">
        <v>100</v>
      </c>
      <c r="F650" s="63">
        <f t="shared" si="20"/>
        <v>15</v>
      </c>
      <c r="G650" s="82"/>
      <c r="H650" s="53">
        <f t="shared" si="21"/>
        <v>115</v>
      </c>
      <c r="I650" s="81"/>
    </row>
    <row r="651" spans="1:9" ht="18" customHeight="1">
      <c r="A651" s="79">
        <v>46028</v>
      </c>
      <c r="B651" s="83" t="s">
        <v>499</v>
      </c>
      <c r="C651" s="83" t="s">
        <v>500</v>
      </c>
      <c r="D651" s="83"/>
      <c r="E651" s="31">
        <v>113.04</v>
      </c>
      <c r="F651" s="63">
        <f t="shared" si="20"/>
        <v>16.956</v>
      </c>
      <c r="G651" s="84"/>
      <c r="H651" s="53">
        <f t="shared" si="21"/>
        <v>129.99600000000001</v>
      </c>
      <c r="I651" s="83"/>
    </row>
    <row r="652" spans="1:9" ht="18" customHeight="1">
      <c r="A652" s="79">
        <v>46029</v>
      </c>
      <c r="B652" s="81" t="s">
        <v>501</v>
      </c>
      <c r="C652" s="81" t="s">
        <v>482</v>
      </c>
      <c r="D652" s="81"/>
      <c r="E652" s="31">
        <v>13.04</v>
      </c>
      <c r="F652" s="63">
        <f t="shared" si="20"/>
        <v>1.9559999999999997</v>
      </c>
      <c r="G652" s="82"/>
      <c r="H652" s="53">
        <f t="shared" si="21"/>
        <v>14.995999999999999</v>
      </c>
      <c r="I652" s="81"/>
    </row>
    <row r="653" spans="1:9" ht="18" customHeight="1">
      <c r="A653" s="79">
        <v>46029</v>
      </c>
      <c r="B653" s="83" t="s">
        <v>502</v>
      </c>
      <c r="C653" s="83" t="s">
        <v>498</v>
      </c>
      <c r="D653" s="83"/>
      <c r="E653" s="31">
        <v>100</v>
      </c>
      <c r="F653" s="63">
        <f t="shared" si="20"/>
        <v>15</v>
      </c>
      <c r="G653" s="84"/>
      <c r="H653" s="53">
        <f t="shared" si="21"/>
        <v>115</v>
      </c>
      <c r="I653" s="83"/>
    </row>
    <row r="654" spans="1:9" ht="18" customHeight="1">
      <c r="A654" s="79">
        <v>46029</v>
      </c>
      <c r="B654" s="81" t="s">
        <v>503</v>
      </c>
      <c r="C654" s="81" t="s">
        <v>496</v>
      </c>
      <c r="D654" s="81"/>
      <c r="E654" s="31">
        <v>1764</v>
      </c>
      <c r="F654" s="63">
        <f t="shared" si="20"/>
        <v>264.59999999999997</v>
      </c>
      <c r="G654" s="82"/>
      <c r="H654" s="53">
        <f t="shared" si="21"/>
        <v>2028.6</v>
      </c>
      <c r="I654" s="81"/>
    </row>
    <row r="655" spans="1:9" ht="18" customHeight="1">
      <c r="A655" s="79">
        <v>46031</v>
      </c>
      <c r="B655" s="83" t="s">
        <v>504</v>
      </c>
      <c r="C655" s="83" t="s">
        <v>505</v>
      </c>
      <c r="D655" s="83"/>
      <c r="E655" s="31">
        <v>16.52</v>
      </c>
      <c r="F655" s="63">
        <f t="shared" si="20"/>
        <v>2.4779999999999998</v>
      </c>
      <c r="G655" s="84"/>
      <c r="H655" s="53">
        <f t="shared" si="21"/>
        <v>18.997999999999998</v>
      </c>
      <c r="I655" s="83"/>
    </row>
    <row r="656" spans="1:9" ht="18" customHeight="1">
      <c r="A656" s="79">
        <v>46033</v>
      </c>
      <c r="B656" s="81" t="s">
        <v>506</v>
      </c>
      <c r="C656" s="81" t="s">
        <v>489</v>
      </c>
      <c r="D656" s="81"/>
      <c r="E656" s="31">
        <v>7.35</v>
      </c>
      <c r="F656" s="63">
        <f t="shared" si="20"/>
        <v>1.1024999999999998</v>
      </c>
      <c r="G656" s="82"/>
      <c r="H656" s="53">
        <f t="shared" si="21"/>
        <v>8.4524999999999988</v>
      </c>
      <c r="I656" s="81"/>
    </row>
    <row r="657" spans="1:9" ht="18" customHeight="1">
      <c r="A657" s="79">
        <v>46033</v>
      </c>
      <c r="B657" s="83" t="s">
        <v>507</v>
      </c>
      <c r="C657" s="83" t="s">
        <v>508</v>
      </c>
      <c r="D657" s="83"/>
      <c r="E657" s="31">
        <v>17.39</v>
      </c>
      <c r="F657" s="63">
        <f t="shared" si="20"/>
        <v>2.6084999999999998</v>
      </c>
      <c r="G657" s="84"/>
      <c r="H657" s="53">
        <f t="shared" si="21"/>
        <v>19.9985</v>
      </c>
      <c r="I657" s="83"/>
    </row>
    <row r="658" spans="1:9" ht="18" customHeight="1">
      <c r="A658" s="79">
        <v>46033</v>
      </c>
      <c r="B658" s="81" t="s">
        <v>509</v>
      </c>
      <c r="C658" s="81" t="s">
        <v>489</v>
      </c>
      <c r="D658" s="81"/>
      <c r="E658" s="31">
        <v>98.41</v>
      </c>
      <c r="F658" s="63">
        <f t="shared" si="20"/>
        <v>14.761499999999998</v>
      </c>
      <c r="G658" s="82"/>
      <c r="H658" s="53">
        <f t="shared" si="21"/>
        <v>113.17149999999999</v>
      </c>
      <c r="I658" s="81"/>
    </row>
    <row r="659" spans="1:9" ht="18" customHeight="1">
      <c r="A659" s="79">
        <v>46034</v>
      </c>
      <c r="B659" s="83" t="s">
        <v>510</v>
      </c>
      <c r="C659" s="83" t="s">
        <v>511</v>
      </c>
      <c r="D659" s="83"/>
      <c r="E659" s="31">
        <v>785.84</v>
      </c>
      <c r="F659" s="63">
        <f t="shared" si="20"/>
        <v>117.876</v>
      </c>
      <c r="G659" s="84"/>
      <c r="H659" s="53">
        <f t="shared" si="21"/>
        <v>903.71600000000001</v>
      </c>
      <c r="I659" s="83"/>
    </row>
    <row r="660" spans="1:9" ht="18" customHeight="1">
      <c r="A660" s="79">
        <v>46037</v>
      </c>
      <c r="B660" s="81" t="s">
        <v>512</v>
      </c>
      <c r="C660" s="81" t="s">
        <v>513</v>
      </c>
      <c r="D660" s="81"/>
      <c r="E660" s="31">
        <v>60</v>
      </c>
      <c r="F660" s="63">
        <f t="shared" si="20"/>
        <v>9</v>
      </c>
      <c r="G660" s="82"/>
      <c r="H660" s="53">
        <f t="shared" si="21"/>
        <v>69</v>
      </c>
      <c r="I660" s="81"/>
    </row>
    <row r="661" spans="1:9" ht="18" customHeight="1">
      <c r="A661" s="79">
        <v>46037</v>
      </c>
      <c r="B661" s="83" t="s">
        <v>514</v>
      </c>
      <c r="C661" s="83" t="s">
        <v>496</v>
      </c>
      <c r="D661" s="83"/>
      <c r="E661" s="31">
        <v>2776.6</v>
      </c>
      <c r="F661" s="63">
        <f t="shared" si="20"/>
        <v>416.48999999999995</v>
      </c>
      <c r="G661" s="84"/>
      <c r="H661" s="53">
        <f t="shared" si="21"/>
        <v>3193.0899999999997</v>
      </c>
      <c r="I661" s="83"/>
    </row>
    <row r="662" spans="1:9" ht="18" customHeight="1">
      <c r="A662" s="79">
        <v>46040</v>
      </c>
      <c r="B662" s="81" t="s">
        <v>515</v>
      </c>
      <c r="C662" s="81" t="s">
        <v>483</v>
      </c>
      <c r="D662" s="81"/>
      <c r="E662" s="31">
        <v>72</v>
      </c>
      <c r="F662" s="63">
        <f t="shared" si="20"/>
        <v>10.799999999999999</v>
      </c>
      <c r="G662" s="82"/>
      <c r="H662" s="53">
        <f t="shared" si="21"/>
        <v>82.8</v>
      </c>
      <c r="I662" s="81"/>
    </row>
    <row r="663" spans="1:9" ht="18" customHeight="1">
      <c r="A663" s="79">
        <v>46040</v>
      </c>
      <c r="B663" s="83" t="s">
        <v>516</v>
      </c>
      <c r="C663" s="83" t="s">
        <v>496</v>
      </c>
      <c r="D663" s="83"/>
      <c r="E663" s="31">
        <v>2762.5</v>
      </c>
      <c r="F663" s="63">
        <f t="shared" si="20"/>
        <v>414.375</v>
      </c>
      <c r="G663" s="84"/>
      <c r="H663" s="53">
        <f t="shared" si="21"/>
        <v>3176.875</v>
      </c>
      <c r="I663" s="83"/>
    </row>
    <row r="664" spans="1:9" ht="18" customHeight="1">
      <c r="A664" s="79">
        <v>46041</v>
      </c>
      <c r="B664" s="81" t="s">
        <v>517</v>
      </c>
      <c r="C664" s="81" t="s">
        <v>518</v>
      </c>
      <c r="D664" s="81"/>
      <c r="E664" s="31">
        <v>3.5</v>
      </c>
      <c r="F664" s="63">
        <f t="shared" si="20"/>
        <v>0.52500000000000002</v>
      </c>
      <c r="G664" s="82"/>
      <c r="H664" s="53">
        <f t="shared" si="21"/>
        <v>4.0250000000000004</v>
      </c>
      <c r="I664" s="81"/>
    </row>
    <row r="665" spans="1:9" ht="18" customHeight="1">
      <c r="A665" s="79">
        <v>46041</v>
      </c>
      <c r="B665" s="83" t="s">
        <v>519</v>
      </c>
      <c r="C665" s="83" t="s">
        <v>505</v>
      </c>
      <c r="D665" s="83"/>
      <c r="E665" s="31">
        <v>8.6999999999999993</v>
      </c>
      <c r="F665" s="63">
        <f t="shared" si="20"/>
        <v>1.3049999999999999</v>
      </c>
      <c r="G665" s="84"/>
      <c r="H665" s="53">
        <f t="shared" si="21"/>
        <v>10.004999999999999</v>
      </c>
      <c r="I665" s="83"/>
    </row>
    <row r="666" spans="1:9" ht="18" customHeight="1">
      <c r="A666" s="79">
        <v>46041</v>
      </c>
      <c r="B666" s="81" t="s">
        <v>520</v>
      </c>
      <c r="C666" s="81" t="s">
        <v>498</v>
      </c>
      <c r="D666" s="81"/>
      <c r="E666" s="31">
        <v>100</v>
      </c>
      <c r="F666" s="63">
        <f t="shared" si="20"/>
        <v>15</v>
      </c>
      <c r="G666" s="82"/>
      <c r="H666" s="53">
        <f t="shared" si="21"/>
        <v>115</v>
      </c>
      <c r="I666" s="81"/>
    </row>
    <row r="667" spans="1:9" ht="18" customHeight="1">
      <c r="A667" s="79">
        <v>46041</v>
      </c>
      <c r="B667" s="83" t="s">
        <v>521</v>
      </c>
      <c r="C667" s="83" t="s">
        <v>496</v>
      </c>
      <c r="D667" s="83"/>
      <c r="E667" s="31">
        <v>3077</v>
      </c>
      <c r="F667" s="63">
        <f t="shared" si="20"/>
        <v>461.54999999999995</v>
      </c>
      <c r="G667" s="84"/>
      <c r="H667" s="53">
        <f t="shared" si="21"/>
        <v>3538.55</v>
      </c>
      <c r="I667" s="83"/>
    </row>
    <row r="668" spans="1:9" ht="18" customHeight="1">
      <c r="A668" s="79">
        <v>46042</v>
      </c>
      <c r="B668" s="81" t="s">
        <v>522</v>
      </c>
      <c r="C668" s="81" t="s">
        <v>498</v>
      </c>
      <c r="D668" s="81"/>
      <c r="E668" s="31">
        <v>100</v>
      </c>
      <c r="F668" s="63">
        <f t="shared" si="20"/>
        <v>15</v>
      </c>
      <c r="G668" s="82"/>
      <c r="H668" s="53">
        <f t="shared" si="21"/>
        <v>115</v>
      </c>
      <c r="I668" s="81"/>
    </row>
    <row r="669" spans="1:9" ht="18" customHeight="1">
      <c r="A669" s="79">
        <v>46042</v>
      </c>
      <c r="B669" s="83" t="s">
        <v>523</v>
      </c>
      <c r="C669" s="83" t="s">
        <v>483</v>
      </c>
      <c r="D669" s="83"/>
      <c r="E669" s="31">
        <v>228.6</v>
      </c>
      <c r="F669" s="63">
        <f t="shared" si="20"/>
        <v>34.29</v>
      </c>
      <c r="G669" s="84"/>
      <c r="H669" s="53">
        <f t="shared" si="21"/>
        <v>262.89</v>
      </c>
      <c r="I669" s="83"/>
    </row>
    <row r="670" spans="1:9" ht="18" customHeight="1">
      <c r="A670" s="79">
        <v>46043</v>
      </c>
      <c r="B670" s="81" t="s">
        <v>524</v>
      </c>
      <c r="C670" s="81" t="s">
        <v>498</v>
      </c>
      <c r="D670" s="81"/>
      <c r="E670" s="31">
        <v>100</v>
      </c>
      <c r="F670" s="63">
        <f t="shared" si="20"/>
        <v>15</v>
      </c>
      <c r="G670" s="82"/>
      <c r="H670" s="53">
        <f t="shared" si="21"/>
        <v>115</v>
      </c>
      <c r="I670" s="81"/>
    </row>
    <row r="671" spans="1:9" ht="18" customHeight="1">
      <c r="A671" s="79">
        <v>46043</v>
      </c>
      <c r="B671" s="83" t="s">
        <v>525</v>
      </c>
      <c r="C671" s="83" t="s">
        <v>526</v>
      </c>
      <c r="D671" s="83"/>
      <c r="E671" s="31">
        <v>370.43</v>
      </c>
      <c r="F671" s="63">
        <f t="shared" si="20"/>
        <v>55.564500000000002</v>
      </c>
      <c r="G671" s="84"/>
      <c r="H671" s="53">
        <f t="shared" si="21"/>
        <v>425.99450000000002</v>
      </c>
      <c r="I671" s="83"/>
    </row>
    <row r="672" spans="1:9" ht="18" customHeight="1">
      <c r="A672" s="79">
        <v>46044</v>
      </c>
      <c r="B672" s="81" t="s">
        <v>527</v>
      </c>
      <c r="C672" s="81" t="s">
        <v>518</v>
      </c>
      <c r="D672" s="81"/>
      <c r="E672" s="31">
        <v>3.5</v>
      </c>
      <c r="F672" s="63">
        <f t="shared" si="20"/>
        <v>0.52500000000000002</v>
      </c>
      <c r="G672" s="82"/>
      <c r="H672" s="53">
        <f t="shared" si="21"/>
        <v>4.0250000000000004</v>
      </c>
      <c r="I672" s="81"/>
    </row>
    <row r="673" spans="1:9" ht="18" customHeight="1">
      <c r="A673" s="79">
        <v>46044</v>
      </c>
      <c r="B673" s="83" t="s">
        <v>528</v>
      </c>
      <c r="C673" s="83" t="s">
        <v>518</v>
      </c>
      <c r="D673" s="83"/>
      <c r="E673" s="31">
        <v>18</v>
      </c>
      <c r="F673" s="63">
        <f t="shared" si="20"/>
        <v>2.6999999999999997</v>
      </c>
      <c r="G673" s="84"/>
      <c r="H673" s="53">
        <f t="shared" si="21"/>
        <v>20.7</v>
      </c>
      <c r="I673" s="83"/>
    </row>
    <row r="674" spans="1:9" ht="18" customHeight="1">
      <c r="A674" s="79">
        <v>46046</v>
      </c>
      <c r="B674" s="81" t="s">
        <v>529</v>
      </c>
      <c r="C674" s="81" t="s">
        <v>498</v>
      </c>
      <c r="D674" s="81"/>
      <c r="E674" s="31">
        <v>673.05</v>
      </c>
      <c r="F674" s="63">
        <f t="shared" si="20"/>
        <v>100.9575</v>
      </c>
      <c r="G674" s="82"/>
      <c r="H674" s="53">
        <f t="shared" si="21"/>
        <v>774.00749999999994</v>
      </c>
      <c r="I674" s="81"/>
    </row>
    <row r="675" spans="1:9" ht="18" customHeight="1">
      <c r="A675" s="79">
        <v>46047</v>
      </c>
      <c r="B675" s="83" t="s">
        <v>530</v>
      </c>
      <c r="C675" s="83" t="s">
        <v>482</v>
      </c>
      <c r="D675" s="83"/>
      <c r="E675" s="31">
        <v>30.43</v>
      </c>
      <c r="F675" s="63">
        <f t="shared" si="20"/>
        <v>4.5644999999999998</v>
      </c>
      <c r="G675" s="84"/>
      <c r="H675" s="53">
        <f t="shared" si="21"/>
        <v>34.994500000000002</v>
      </c>
      <c r="I675" s="83"/>
    </row>
    <row r="676" spans="1:9" ht="18" customHeight="1">
      <c r="A676" s="79">
        <v>46047</v>
      </c>
      <c r="B676" s="81" t="s">
        <v>531</v>
      </c>
      <c r="C676" s="81" t="s">
        <v>532</v>
      </c>
      <c r="D676" s="81"/>
      <c r="E676" s="31">
        <v>1100</v>
      </c>
      <c r="F676" s="63">
        <f t="shared" ref="F676:F707" si="22">IFERROR(E676*$B$3,0)</f>
        <v>165</v>
      </c>
      <c r="G676" s="82"/>
      <c r="H676" s="53">
        <f t="shared" ref="H676:H707" si="23">IFERROR(E676+F676,0)</f>
        <v>1265</v>
      </c>
      <c r="I676" s="81"/>
    </row>
    <row r="677" spans="1:9" ht="18" customHeight="1">
      <c r="A677" s="79">
        <v>46048</v>
      </c>
      <c r="B677" s="83" t="s">
        <v>533</v>
      </c>
      <c r="C677" s="83" t="s">
        <v>505</v>
      </c>
      <c r="D677" s="83"/>
      <c r="E677" s="31">
        <v>11.3</v>
      </c>
      <c r="F677" s="63">
        <f t="shared" si="22"/>
        <v>1.6950000000000001</v>
      </c>
      <c r="G677" s="84"/>
      <c r="H677" s="53">
        <f t="shared" si="23"/>
        <v>12.995000000000001</v>
      </c>
      <c r="I677" s="83"/>
    </row>
    <row r="678" spans="1:9" ht="18" customHeight="1">
      <c r="A678" s="79">
        <v>46048</v>
      </c>
      <c r="B678" s="81" t="s">
        <v>534</v>
      </c>
      <c r="C678" s="81" t="s">
        <v>535</v>
      </c>
      <c r="D678" s="81"/>
      <c r="E678" s="31">
        <v>86.96</v>
      </c>
      <c r="F678" s="63">
        <f t="shared" si="22"/>
        <v>13.043999999999999</v>
      </c>
      <c r="G678" s="82"/>
      <c r="H678" s="53">
        <f t="shared" si="23"/>
        <v>100.00399999999999</v>
      </c>
      <c r="I678" s="81"/>
    </row>
    <row r="679" spans="1:9" ht="18" customHeight="1">
      <c r="A679" s="79">
        <v>46048</v>
      </c>
      <c r="B679" s="83" t="s">
        <v>536</v>
      </c>
      <c r="C679" s="83" t="s">
        <v>537</v>
      </c>
      <c r="D679" s="83"/>
      <c r="E679" s="31">
        <v>417.39</v>
      </c>
      <c r="F679" s="63">
        <f t="shared" si="22"/>
        <v>62.608499999999992</v>
      </c>
      <c r="G679" s="84"/>
      <c r="H679" s="53">
        <f t="shared" si="23"/>
        <v>479.99849999999998</v>
      </c>
      <c r="I679" s="83"/>
    </row>
    <row r="680" spans="1:9" ht="18" customHeight="1">
      <c r="A680" s="79">
        <v>46048</v>
      </c>
      <c r="B680" s="83" t="s">
        <v>538</v>
      </c>
      <c r="C680" s="83" t="s">
        <v>496</v>
      </c>
      <c r="D680" s="83"/>
      <c r="E680" s="31">
        <v>3876.5</v>
      </c>
      <c r="F680" s="63">
        <f t="shared" si="22"/>
        <v>581.47500000000002</v>
      </c>
      <c r="G680" s="84"/>
      <c r="H680" s="53">
        <f t="shared" si="23"/>
        <v>4457.9750000000004</v>
      </c>
      <c r="I680" s="83"/>
    </row>
    <row r="681" spans="1:9" ht="18" customHeight="1">
      <c r="A681" s="79">
        <v>46049</v>
      </c>
      <c r="B681" s="83" t="s">
        <v>539</v>
      </c>
      <c r="C681" s="83" t="s">
        <v>498</v>
      </c>
      <c r="D681" s="83"/>
      <c r="E681" s="31">
        <v>100</v>
      </c>
      <c r="F681" s="63">
        <f t="shared" si="22"/>
        <v>15</v>
      </c>
      <c r="G681" s="84"/>
      <c r="H681" s="53">
        <f t="shared" si="23"/>
        <v>115</v>
      </c>
      <c r="I681" s="83"/>
    </row>
    <row r="682" spans="1:9" ht="18" customHeight="1">
      <c r="A682" s="79">
        <v>46049</v>
      </c>
      <c r="B682" s="83" t="s">
        <v>540</v>
      </c>
      <c r="C682" s="83" t="s">
        <v>541</v>
      </c>
      <c r="D682" s="83"/>
      <c r="E682" s="31">
        <v>100</v>
      </c>
      <c r="F682" s="63">
        <f t="shared" si="22"/>
        <v>15</v>
      </c>
      <c r="G682" s="84"/>
      <c r="H682" s="53">
        <f t="shared" si="23"/>
        <v>115</v>
      </c>
      <c r="I682" s="83"/>
    </row>
    <row r="683" spans="1:9" ht="18" customHeight="1">
      <c r="A683" s="79">
        <v>46049</v>
      </c>
      <c r="B683" s="83" t="s">
        <v>542</v>
      </c>
      <c r="C683" s="83" t="s">
        <v>543</v>
      </c>
      <c r="D683" s="83"/>
      <c r="E683" s="31">
        <v>1101.6300000000001</v>
      </c>
      <c r="F683" s="63">
        <f t="shared" si="22"/>
        <v>165.24450000000002</v>
      </c>
      <c r="G683" s="84"/>
      <c r="H683" s="53">
        <f t="shared" si="23"/>
        <v>1266.8745000000001</v>
      </c>
      <c r="I683" s="83"/>
    </row>
    <row r="684" spans="1:9" ht="18" customHeight="1">
      <c r="A684" s="79">
        <v>46050</v>
      </c>
      <c r="B684" s="83" t="s">
        <v>544</v>
      </c>
      <c r="C684" s="83" t="s">
        <v>505</v>
      </c>
      <c r="D684" s="83"/>
      <c r="E684" s="31">
        <v>12.17</v>
      </c>
      <c r="F684" s="63">
        <f t="shared" si="22"/>
        <v>1.8254999999999999</v>
      </c>
      <c r="G684" s="84"/>
      <c r="H684" s="53">
        <f t="shared" si="23"/>
        <v>13.9955</v>
      </c>
      <c r="I684" s="83"/>
    </row>
    <row r="685" spans="1:9" ht="18" customHeight="1">
      <c r="A685" s="79">
        <v>46050</v>
      </c>
      <c r="B685" s="83" t="s">
        <v>545</v>
      </c>
      <c r="C685" s="83" t="s">
        <v>546</v>
      </c>
      <c r="D685" s="83"/>
      <c r="E685" s="31">
        <v>19271.310000000001</v>
      </c>
      <c r="F685" s="63">
        <f t="shared" si="22"/>
        <v>2890.6965</v>
      </c>
      <c r="G685" s="84"/>
      <c r="H685" s="53">
        <f t="shared" si="23"/>
        <v>22162.006500000003</v>
      </c>
      <c r="I685" s="83"/>
    </row>
    <row r="686" spans="1:9" ht="18" customHeight="1">
      <c r="A686" s="79">
        <v>46051</v>
      </c>
      <c r="B686" s="83" t="s">
        <v>547</v>
      </c>
      <c r="C686" s="83" t="s">
        <v>483</v>
      </c>
      <c r="D686" s="83"/>
      <c r="E686" s="31">
        <v>221</v>
      </c>
      <c r="F686" s="63">
        <f t="shared" si="22"/>
        <v>33.15</v>
      </c>
      <c r="G686" s="84"/>
      <c r="H686" s="53">
        <f t="shared" si="23"/>
        <v>254.15</v>
      </c>
      <c r="I686" s="83"/>
    </row>
    <row r="687" spans="1:9" ht="18" customHeight="1">
      <c r="A687" s="79">
        <v>46053</v>
      </c>
      <c r="B687" s="83" t="s">
        <v>548</v>
      </c>
      <c r="C687" s="83" t="s">
        <v>483</v>
      </c>
      <c r="D687" s="83"/>
      <c r="E687" s="31">
        <v>57</v>
      </c>
      <c r="F687" s="63">
        <f t="shared" si="22"/>
        <v>8.5499999999999989</v>
      </c>
      <c r="G687" s="84"/>
      <c r="H687" s="53">
        <f t="shared" si="23"/>
        <v>65.55</v>
      </c>
      <c r="I687" s="83"/>
    </row>
    <row r="688" spans="1:9" ht="18" customHeight="1">
      <c r="A688" s="79">
        <v>46053</v>
      </c>
      <c r="B688" s="83" t="s">
        <v>549</v>
      </c>
      <c r="C688" s="83" t="s">
        <v>550</v>
      </c>
      <c r="D688" s="83"/>
      <c r="E688" s="31">
        <v>741.3</v>
      </c>
      <c r="F688" s="63">
        <f t="shared" si="22"/>
        <v>111.19499999999999</v>
      </c>
      <c r="G688" s="84"/>
      <c r="H688" s="53">
        <f t="shared" si="23"/>
        <v>852.49499999999989</v>
      </c>
      <c r="I688" s="83"/>
    </row>
    <row r="689" spans="1:9" ht="18" customHeight="1">
      <c r="A689" s="79">
        <v>46053</v>
      </c>
      <c r="B689" s="83" t="s">
        <v>551</v>
      </c>
      <c r="C689" s="83" t="s">
        <v>537</v>
      </c>
      <c r="D689" s="83"/>
      <c r="E689" s="31">
        <v>876.52</v>
      </c>
      <c r="F689" s="63">
        <f t="shared" si="22"/>
        <v>131.47799999999998</v>
      </c>
      <c r="G689" s="84"/>
      <c r="H689" s="53">
        <f t="shared" si="23"/>
        <v>1007.9979999999999</v>
      </c>
      <c r="I689" s="83"/>
    </row>
    <row r="690" spans="1:9" ht="18" customHeight="1">
      <c r="A690" s="79">
        <v>46053</v>
      </c>
      <c r="B690" s="83" t="s">
        <v>552</v>
      </c>
      <c r="C690" s="83" t="s">
        <v>553</v>
      </c>
      <c r="D690" s="83"/>
      <c r="E690" s="31">
        <v>2301.7600000000002</v>
      </c>
      <c r="F690" s="63">
        <f t="shared" si="22"/>
        <v>345.26400000000001</v>
      </c>
      <c r="G690" s="84"/>
      <c r="H690" s="53">
        <f t="shared" si="23"/>
        <v>2647.0240000000003</v>
      </c>
      <c r="I690" s="83"/>
    </row>
    <row r="691" spans="1:9" ht="18" customHeight="1">
      <c r="A691" s="79">
        <v>46054</v>
      </c>
      <c r="B691" s="83" t="s">
        <v>554</v>
      </c>
      <c r="C691" s="83" t="s">
        <v>508</v>
      </c>
      <c r="D691" s="83"/>
      <c r="E691" s="31">
        <v>34.78</v>
      </c>
      <c r="F691" s="63">
        <f t="shared" si="22"/>
        <v>5.2169999999999996</v>
      </c>
      <c r="G691" s="84"/>
      <c r="H691" s="53">
        <f t="shared" si="23"/>
        <v>39.997</v>
      </c>
      <c r="I691" s="83"/>
    </row>
    <row r="692" spans="1:9" ht="18" customHeight="1">
      <c r="A692" s="79">
        <v>46054</v>
      </c>
      <c r="B692" s="83" t="s">
        <v>555</v>
      </c>
      <c r="C692" s="83" t="s">
        <v>550</v>
      </c>
      <c r="D692" s="83"/>
      <c r="E692" s="31">
        <v>78.260000000000005</v>
      </c>
      <c r="F692" s="63">
        <f t="shared" si="22"/>
        <v>11.739000000000001</v>
      </c>
      <c r="G692" s="84"/>
      <c r="H692" s="53">
        <f t="shared" si="23"/>
        <v>89.999000000000009</v>
      </c>
      <c r="I692" s="83"/>
    </row>
    <row r="693" spans="1:9" ht="18" customHeight="1">
      <c r="A693" s="79">
        <v>46054</v>
      </c>
      <c r="B693" s="83" t="s">
        <v>556</v>
      </c>
      <c r="C693" s="83" t="s">
        <v>557</v>
      </c>
      <c r="D693" s="83"/>
      <c r="E693" s="31">
        <v>921.74</v>
      </c>
      <c r="F693" s="63">
        <f t="shared" si="22"/>
        <v>138.261</v>
      </c>
      <c r="G693" s="84"/>
      <c r="H693" s="53">
        <f t="shared" si="23"/>
        <v>1060.001</v>
      </c>
      <c r="I693" s="83"/>
    </row>
    <row r="694" spans="1:9" ht="18" customHeight="1">
      <c r="A694" s="79">
        <v>46054</v>
      </c>
      <c r="B694" s="83" t="s">
        <v>558</v>
      </c>
      <c r="C694" s="83" t="s">
        <v>559</v>
      </c>
      <c r="D694" s="83"/>
      <c r="E694" s="31">
        <v>3560</v>
      </c>
      <c r="F694" s="63">
        <f t="shared" si="22"/>
        <v>534</v>
      </c>
      <c r="G694" s="84"/>
      <c r="H694" s="53">
        <f t="shared" si="23"/>
        <v>4094</v>
      </c>
      <c r="I694" s="83"/>
    </row>
    <row r="695" spans="1:9" ht="18" customHeight="1">
      <c r="A695" s="79">
        <v>46054</v>
      </c>
      <c r="B695" s="83" t="s">
        <v>560</v>
      </c>
      <c r="C695" s="83" t="s">
        <v>496</v>
      </c>
      <c r="D695" s="83"/>
      <c r="E695" s="31">
        <v>3624.5</v>
      </c>
      <c r="F695" s="63">
        <f t="shared" si="22"/>
        <v>543.67499999999995</v>
      </c>
      <c r="G695" s="84"/>
      <c r="H695" s="53">
        <f t="shared" si="23"/>
        <v>4168.1750000000002</v>
      </c>
      <c r="I695" s="83"/>
    </row>
    <row r="696" spans="1:9" ht="18" customHeight="1">
      <c r="A696" s="79">
        <v>46055</v>
      </c>
      <c r="B696" s="83" t="s">
        <v>561</v>
      </c>
      <c r="C696" s="83" t="s">
        <v>562</v>
      </c>
      <c r="D696" s="83"/>
      <c r="E696" s="31">
        <v>30.43</v>
      </c>
      <c r="F696" s="63">
        <f t="shared" si="22"/>
        <v>4.5644999999999998</v>
      </c>
      <c r="G696" s="84"/>
      <c r="H696" s="53">
        <f t="shared" si="23"/>
        <v>34.994500000000002</v>
      </c>
      <c r="I696" s="83"/>
    </row>
    <row r="697" spans="1:9" ht="18" customHeight="1">
      <c r="A697" s="79">
        <v>46056</v>
      </c>
      <c r="B697" s="83" t="s">
        <v>563</v>
      </c>
      <c r="C697" s="83" t="s">
        <v>564</v>
      </c>
      <c r="D697" s="83"/>
      <c r="E697" s="31">
        <v>6000</v>
      </c>
      <c r="F697" s="63">
        <f t="shared" si="22"/>
        <v>900</v>
      </c>
      <c r="G697" s="84"/>
      <c r="H697" s="53">
        <f t="shared" si="23"/>
        <v>6900</v>
      </c>
      <c r="I697" s="83"/>
    </row>
    <row r="698" spans="1:9" ht="18" customHeight="1">
      <c r="A698" s="79">
        <v>46057</v>
      </c>
      <c r="B698" s="83" t="s">
        <v>565</v>
      </c>
      <c r="C698" s="83" t="s">
        <v>566</v>
      </c>
      <c r="D698" s="83"/>
      <c r="E698" s="31">
        <v>43.48</v>
      </c>
      <c r="F698" s="63">
        <f t="shared" si="22"/>
        <v>6.5219999999999994</v>
      </c>
      <c r="G698" s="84"/>
      <c r="H698" s="53">
        <f t="shared" si="23"/>
        <v>50.001999999999995</v>
      </c>
      <c r="I698" s="83"/>
    </row>
    <row r="699" spans="1:9" ht="18" customHeight="1">
      <c r="A699" s="79">
        <v>46057</v>
      </c>
      <c r="B699" s="83" t="s">
        <v>567</v>
      </c>
      <c r="C699" s="83" t="s">
        <v>483</v>
      </c>
      <c r="D699" s="83"/>
      <c r="E699" s="31">
        <v>107</v>
      </c>
      <c r="F699" s="63">
        <f t="shared" si="22"/>
        <v>16.05</v>
      </c>
      <c r="G699" s="84"/>
      <c r="H699" s="53">
        <f t="shared" si="23"/>
        <v>123.05</v>
      </c>
      <c r="I699" s="83"/>
    </row>
    <row r="700" spans="1:9" ht="18" customHeight="1">
      <c r="A700" s="79">
        <v>46057</v>
      </c>
      <c r="B700" s="83" t="s">
        <v>568</v>
      </c>
      <c r="C700" s="83" t="s">
        <v>483</v>
      </c>
      <c r="D700" s="83"/>
      <c r="E700" s="31">
        <v>131.30000000000001</v>
      </c>
      <c r="F700" s="63">
        <f t="shared" si="22"/>
        <v>19.695</v>
      </c>
      <c r="G700" s="84"/>
      <c r="H700" s="53">
        <f t="shared" si="23"/>
        <v>150.995</v>
      </c>
      <c r="I700" s="83"/>
    </row>
    <row r="701" spans="1:9" ht="18" customHeight="1">
      <c r="A701" s="79">
        <v>46057</v>
      </c>
      <c r="B701" s="83" t="s">
        <v>569</v>
      </c>
      <c r="C701" s="83" t="s">
        <v>483</v>
      </c>
      <c r="D701" s="83"/>
      <c r="E701" s="31">
        <v>193.91</v>
      </c>
      <c r="F701" s="63">
        <f t="shared" si="22"/>
        <v>29.086499999999997</v>
      </c>
      <c r="G701" s="84"/>
      <c r="H701" s="53">
        <f t="shared" si="23"/>
        <v>222.9965</v>
      </c>
      <c r="I701" s="83"/>
    </row>
    <row r="702" spans="1:9" ht="18" customHeight="1">
      <c r="A702" s="79">
        <v>46057</v>
      </c>
      <c r="B702" s="83" t="s">
        <v>570</v>
      </c>
      <c r="C702" s="83" t="s">
        <v>494</v>
      </c>
      <c r="D702" s="83"/>
      <c r="E702" s="31">
        <v>20887</v>
      </c>
      <c r="F702" s="63">
        <f t="shared" si="22"/>
        <v>3133.0499999999997</v>
      </c>
      <c r="G702" s="84"/>
      <c r="H702" s="53">
        <f t="shared" si="23"/>
        <v>24020.05</v>
      </c>
      <c r="I702" s="83"/>
    </row>
    <row r="703" spans="1:9" ht="18" customHeight="1">
      <c r="A703" s="79">
        <v>46058</v>
      </c>
      <c r="B703" s="83" t="s">
        <v>571</v>
      </c>
      <c r="C703" s="83" t="s">
        <v>572</v>
      </c>
      <c r="D703" s="83"/>
      <c r="E703" s="31">
        <v>21.74</v>
      </c>
      <c r="F703" s="63">
        <f t="shared" si="22"/>
        <v>3.2609999999999997</v>
      </c>
      <c r="G703" s="84"/>
      <c r="H703" s="53">
        <f t="shared" si="23"/>
        <v>25.000999999999998</v>
      </c>
      <c r="I703" s="83"/>
    </row>
    <row r="704" spans="1:9" ht="18" customHeight="1">
      <c r="A704" s="79">
        <v>46058</v>
      </c>
      <c r="B704" s="83" t="s">
        <v>573</v>
      </c>
      <c r="C704" s="83" t="s">
        <v>562</v>
      </c>
      <c r="D704" s="83"/>
      <c r="E704" s="31">
        <v>43.48</v>
      </c>
      <c r="F704" s="63">
        <f t="shared" si="22"/>
        <v>6.5219999999999994</v>
      </c>
      <c r="G704" s="84"/>
      <c r="H704" s="53">
        <f t="shared" si="23"/>
        <v>50.001999999999995</v>
      </c>
      <c r="I704" s="83"/>
    </row>
    <row r="705" spans="1:9" ht="18" customHeight="1">
      <c r="A705" s="79">
        <v>46058</v>
      </c>
      <c r="B705" s="83" t="s">
        <v>574</v>
      </c>
      <c r="C705" s="83" t="s">
        <v>575</v>
      </c>
      <c r="D705" s="83"/>
      <c r="E705" s="31">
        <v>88.57</v>
      </c>
      <c r="F705" s="63">
        <f t="shared" si="22"/>
        <v>13.285499999999999</v>
      </c>
      <c r="G705" s="84"/>
      <c r="H705" s="53">
        <f t="shared" si="23"/>
        <v>101.85549999999999</v>
      </c>
      <c r="I705" s="83"/>
    </row>
    <row r="706" spans="1:9" ht="18" customHeight="1">
      <c r="A706" s="79">
        <v>46058</v>
      </c>
      <c r="B706" s="83" t="s">
        <v>576</v>
      </c>
      <c r="C706" s="83" t="s">
        <v>498</v>
      </c>
      <c r="D706" s="83"/>
      <c r="E706" s="31">
        <v>100</v>
      </c>
      <c r="F706" s="63">
        <f t="shared" si="22"/>
        <v>15</v>
      </c>
      <c r="G706" s="84"/>
      <c r="H706" s="53">
        <f t="shared" si="23"/>
        <v>115</v>
      </c>
      <c r="I706" s="83"/>
    </row>
    <row r="707" spans="1:9" ht="18" customHeight="1">
      <c r="A707" s="79">
        <v>46058</v>
      </c>
      <c r="B707" s="83" t="s">
        <v>577</v>
      </c>
      <c r="C707" s="83" t="s">
        <v>578</v>
      </c>
      <c r="D707" s="83"/>
      <c r="E707" s="31">
        <v>252.17</v>
      </c>
      <c r="F707" s="63">
        <f t="shared" si="22"/>
        <v>37.825499999999998</v>
      </c>
      <c r="G707" s="84"/>
      <c r="H707" s="53">
        <f t="shared" si="23"/>
        <v>289.99549999999999</v>
      </c>
      <c r="I707" s="83"/>
    </row>
    <row r="708" spans="1:9" ht="18" customHeight="1">
      <c r="A708" s="79">
        <v>46058</v>
      </c>
      <c r="B708" s="83" t="s">
        <v>579</v>
      </c>
      <c r="C708" s="83" t="s">
        <v>494</v>
      </c>
      <c r="D708" s="83"/>
      <c r="E708" s="31">
        <v>278.25</v>
      </c>
      <c r="F708" s="63">
        <f t="shared" ref="F708:F739" si="24">IFERROR(E708*$B$3,0)</f>
        <v>41.737499999999997</v>
      </c>
      <c r="G708" s="84"/>
      <c r="H708" s="53">
        <f t="shared" ref="H708:H739" si="25">IFERROR(E708+F708,0)</f>
        <v>319.98750000000001</v>
      </c>
      <c r="I708" s="83"/>
    </row>
    <row r="709" spans="1:9" ht="18" customHeight="1">
      <c r="A709" s="79">
        <v>46058</v>
      </c>
      <c r="B709" s="83" t="s">
        <v>580</v>
      </c>
      <c r="C709" s="83" t="s">
        <v>496</v>
      </c>
      <c r="D709" s="83"/>
      <c r="E709" s="31">
        <v>69500</v>
      </c>
      <c r="F709" s="63">
        <f t="shared" si="24"/>
        <v>10425</v>
      </c>
      <c r="G709" s="84"/>
      <c r="H709" s="53">
        <f t="shared" si="25"/>
        <v>79925</v>
      </c>
      <c r="I709" s="83"/>
    </row>
    <row r="710" spans="1:9" ht="18" customHeight="1">
      <c r="A710" s="79">
        <v>46059</v>
      </c>
      <c r="B710" s="83" t="s">
        <v>581</v>
      </c>
      <c r="C710" s="83" t="s">
        <v>489</v>
      </c>
      <c r="D710" s="83"/>
      <c r="E710" s="31">
        <v>308.79000000000002</v>
      </c>
      <c r="F710" s="63">
        <f t="shared" si="24"/>
        <v>46.3185</v>
      </c>
      <c r="G710" s="84"/>
      <c r="H710" s="53">
        <f t="shared" si="25"/>
        <v>355.10850000000005</v>
      </c>
      <c r="I710" s="83"/>
    </row>
    <row r="711" spans="1:9" ht="18" customHeight="1">
      <c r="A711" s="79">
        <v>46060</v>
      </c>
      <c r="B711" s="83" t="s">
        <v>582</v>
      </c>
      <c r="C711" s="83" t="s">
        <v>483</v>
      </c>
      <c r="D711" s="83"/>
      <c r="E711" s="31">
        <v>54</v>
      </c>
      <c r="F711" s="63">
        <f t="shared" si="24"/>
        <v>8.1</v>
      </c>
      <c r="G711" s="84"/>
      <c r="H711" s="53">
        <f t="shared" si="25"/>
        <v>62.1</v>
      </c>
      <c r="I711" s="83"/>
    </row>
    <row r="712" spans="1:9" ht="18" customHeight="1">
      <c r="A712" s="79">
        <v>46060</v>
      </c>
      <c r="B712" s="83" t="s">
        <v>583</v>
      </c>
      <c r="C712" s="83" t="s">
        <v>494</v>
      </c>
      <c r="D712" s="83"/>
      <c r="E712" s="31">
        <v>1043.77</v>
      </c>
      <c r="F712" s="63">
        <f t="shared" si="24"/>
        <v>156.56549999999999</v>
      </c>
      <c r="G712" s="84"/>
      <c r="H712" s="53">
        <f t="shared" si="25"/>
        <v>1200.3354999999999</v>
      </c>
      <c r="I712" s="83"/>
    </row>
    <row r="713" spans="1:9" ht="18" customHeight="1">
      <c r="A713" s="79">
        <v>46060</v>
      </c>
      <c r="B713" s="83" t="s">
        <v>584</v>
      </c>
      <c r="C713" s="83" t="s">
        <v>496</v>
      </c>
      <c r="D713" s="83"/>
      <c r="E713" s="31">
        <v>6495</v>
      </c>
      <c r="F713" s="63">
        <f t="shared" si="24"/>
        <v>974.25</v>
      </c>
      <c r="G713" s="84"/>
      <c r="H713" s="53">
        <f t="shared" si="25"/>
        <v>7469.25</v>
      </c>
      <c r="I713" s="83"/>
    </row>
    <row r="714" spans="1:9" ht="18" customHeight="1">
      <c r="A714" s="79">
        <v>46060</v>
      </c>
      <c r="B714" s="83" t="s">
        <v>585</v>
      </c>
      <c r="C714" s="83" t="s">
        <v>496</v>
      </c>
      <c r="D714" s="83"/>
      <c r="E714" s="31">
        <v>7277</v>
      </c>
      <c r="F714" s="63">
        <f t="shared" si="24"/>
        <v>1091.55</v>
      </c>
      <c r="G714" s="84"/>
      <c r="H714" s="53">
        <f t="shared" si="25"/>
        <v>8368.5499999999993</v>
      </c>
      <c r="I714" s="83"/>
    </row>
    <row r="715" spans="1:9" ht="18" customHeight="1">
      <c r="A715" s="79">
        <v>46061</v>
      </c>
      <c r="B715" s="83" t="s">
        <v>586</v>
      </c>
      <c r="C715" s="83" t="s">
        <v>587</v>
      </c>
      <c r="D715" s="83"/>
      <c r="E715" s="31">
        <v>1800</v>
      </c>
      <c r="F715" s="63">
        <f t="shared" si="24"/>
        <v>270</v>
      </c>
      <c r="G715" s="84"/>
      <c r="H715" s="53">
        <f t="shared" si="25"/>
        <v>2070</v>
      </c>
      <c r="I715" s="83"/>
    </row>
    <row r="716" spans="1:9" ht="18" customHeight="1">
      <c r="A716" s="79">
        <v>46061</v>
      </c>
      <c r="B716" s="83" t="s">
        <v>588</v>
      </c>
      <c r="C716" s="83" t="s">
        <v>496</v>
      </c>
      <c r="D716" s="83"/>
      <c r="E716" s="31">
        <v>2059</v>
      </c>
      <c r="F716" s="63">
        <f t="shared" si="24"/>
        <v>308.84999999999997</v>
      </c>
      <c r="G716" s="84"/>
      <c r="H716" s="53">
        <f t="shared" si="25"/>
        <v>2367.85</v>
      </c>
      <c r="I716" s="83"/>
    </row>
    <row r="717" spans="1:9" ht="18" customHeight="1">
      <c r="A717" s="79">
        <v>46062</v>
      </c>
      <c r="B717" s="83" t="s">
        <v>589</v>
      </c>
      <c r="C717" s="83" t="s">
        <v>511</v>
      </c>
      <c r="D717" s="83"/>
      <c r="E717" s="31">
        <v>219.25</v>
      </c>
      <c r="F717" s="63">
        <f t="shared" si="24"/>
        <v>32.887499999999996</v>
      </c>
      <c r="G717" s="84"/>
      <c r="H717" s="53">
        <f t="shared" si="25"/>
        <v>252.13749999999999</v>
      </c>
      <c r="I717" s="83"/>
    </row>
    <row r="718" spans="1:9" ht="18" customHeight="1">
      <c r="A718" s="79">
        <v>46062</v>
      </c>
      <c r="B718" s="83" t="s">
        <v>590</v>
      </c>
      <c r="C718" s="83" t="s">
        <v>591</v>
      </c>
      <c r="D718" s="83"/>
      <c r="E718" s="31">
        <v>720</v>
      </c>
      <c r="F718" s="63">
        <f t="shared" si="24"/>
        <v>108</v>
      </c>
      <c r="G718" s="84"/>
      <c r="H718" s="53">
        <f t="shared" si="25"/>
        <v>828</v>
      </c>
      <c r="I718" s="83"/>
    </row>
    <row r="719" spans="1:9" ht="18" customHeight="1">
      <c r="A719" s="79">
        <v>46063</v>
      </c>
      <c r="B719" s="83" t="s">
        <v>592</v>
      </c>
      <c r="C719" s="83" t="s">
        <v>483</v>
      </c>
      <c r="D719" s="83"/>
      <c r="E719" s="31">
        <v>50.02</v>
      </c>
      <c r="F719" s="63">
        <f t="shared" si="24"/>
        <v>7.5030000000000001</v>
      </c>
      <c r="G719" s="84"/>
      <c r="H719" s="53">
        <f t="shared" si="25"/>
        <v>57.523000000000003</v>
      </c>
      <c r="I719" s="83"/>
    </row>
    <row r="720" spans="1:9" ht="18" customHeight="1">
      <c r="A720" s="79">
        <v>46063</v>
      </c>
      <c r="B720" s="83" t="s">
        <v>593</v>
      </c>
      <c r="C720" s="83" t="s">
        <v>537</v>
      </c>
      <c r="D720" s="83"/>
      <c r="E720" s="31">
        <v>1921.04</v>
      </c>
      <c r="F720" s="63">
        <f t="shared" si="24"/>
        <v>288.15600000000001</v>
      </c>
      <c r="G720" s="84"/>
      <c r="H720" s="53">
        <f t="shared" si="25"/>
        <v>2209.1959999999999</v>
      </c>
      <c r="I720" s="83"/>
    </row>
    <row r="721" spans="1:9" ht="18" customHeight="1">
      <c r="A721" s="79">
        <v>46064</v>
      </c>
      <c r="B721" s="83" t="s">
        <v>594</v>
      </c>
      <c r="C721" s="83" t="s">
        <v>518</v>
      </c>
      <c r="D721" s="83"/>
      <c r="E721" s="31">
        <v>7</v>
      </c>
      <c r="F721" s="63">
        <f t="shared" si="24"/>
        <v>1.05</v>
      </c>
      <c r="G721" s="84"/>
      <c r="H721" s="53">
        <f t="shared" si="25"/>
        <v>8.0500000000000007</v>
      </c>
      <c r="I721" s="83"/>
    </row>
    <row r="722" spans="1:9" ht="18" customHeight="1">
      <c r="A722" s="79">
        <v>46064</v>
      </c>
      <c r="B722" s="83" t="s">
        <v>595</v>
      </c>
      <c r="C722" s="83" t="s">
        <v>494</v>
      </c>
      <c r="D722" s="83"/>
      <c r="E722" s="31">
        <v>211.21</v>
      </c>
      <c r="F722" s="63">
        <f t="shared" si="24"/>
        <v>31.6815</v>
      </c>
      <c r="G722" s="84"/>
      <c r="H722" s="53">
        <f t="shared" si="25"/>
        <v>242.89150000000001</v>
      </c>
      <c r="I722" s="83"/>
    </row>
    <row r="723" spans="1:9" ht="18" customHeight="1">
      <c r="A723" s="79">
        <v>46064</v>
      </c>
      <c r="B723" s="83" t="s">
        <v>596</v>
      </c>
      <c r="C723" s="83" t="s">
        <v>511</v>
      </c>
      <c r="D723" s="83"/>
      <c r="E723" s="31">
        <v>215.65</v>
      </c>
      <c r="F723" s="63">
        <f t="shared" si="24"/>
        <v>32.347499999999997</v>
      </c>
      <c r="G723" s="84"/>
      <c r="H723" s="53">
        <f t="shared" si="25"/>
        <v>247.9975</v>
      </c>
      <c r="I723" s="83"/>
    </row>
    <row r="724" spans="1:9" ht="18" customHeight="1">
      <c r="A724" s="79">
        <v>46064</v>
      </c>
      <c r="B724" s="83" t="s">
        <v>597</v>
      </c>
      <c r="C724" s="83" t="s">
        <v>511</v>
      </c>
      <c r="D724" s="83"/>
      <c r="E724" s="31">
        <v>558.79999999999995</v>
      </c>
      <c r="F724" s="63">
        <f t="shared" si="24"/>
        <v>83.82</v>
      </c>
      <c r="G724" s="84"/>
      <c r="H724" s="53">
        <f t="shared" si="25"/>
        <v>642.61999999999989</v>
      </c>
      <c r="I724" s="83"/>
    </row>
    <row r="725" spans="1:9" ht="18" customHeight="1">
      <c r="A725" s="79">
        <v>46064</v>
      </c>
      <c r="B725" s="83" t="s">
        <v>598</v>
      </c>
      <c r="C725" s="83" t="s">
        <v>494</v>
      </c>
      <c r="D725" s="83"/>
      <c r="E725" s="31">
        <v>1403.71</v>
      </c>
      <c r="F725" s="63">
        <f t="shared" si="24"/>
        <v>210.5565</v>
      </c>
      <c r="G725" s="84"/>
      <c r="H725" s="53">
        <f t="shared" si="25"/>
        <v>1614.2665</v>
      </c>
      <c r="I725" s="83"/>
    </row>
    <row r="726" spans="1:9" ht="18" customHeight="1">
      <c r="A726" s="79">
        <v>46065</v>
      </c>
      <c r="B726" s="83" t="s">
        <v>599</v>
      </c>
      <c r="C726" s="83" t="s">
        <v>483</v>
      </c>
      <c r="D726" s="83"/>
      <c r="E726" s="31">
        <v>30</v>
      </c>
      <c r="F726" s="63">
        <f t="shared" si="24"/>
        <v>4.5</v>
      </c>
      <c r="G726" s="84"/>
      <c r="H726" s="53">
        <f t="shared" si="25"/>
        <v>34.5</v>
      </c>
      <c r="I726" s="83"/>
    </row>
    <row r="727" spans="1:9" ht="18" customHeight="1">
      <c r="A727" s="79">
        <v>46065</v>
      </c>
      <c r="B727" s="83" t="s">
        <v>600</v>
      </c>
      <c r="C727" s="83" t="s">
        <v>601</v>
      </c>
      <c r="D727" s="83"/>
      <c r="E727" s="31">
        <v>43.48</v>
      </c>
      <c r="F727" s="63">
        <f t="shared" si="24"/>
        <v>6.5219999999999994</v>
      </c>
      <c r="G727" s="84"/>
      <c r="H727" s="53">
        <f t="shared" si="25"/>
        <v>50.001999999999995</v>
      </c>
      <c r="I727" s="83"/>
    </row>
    <row r="728" spans="1:9" ht="18" customHeight="1">
      <c r="A728" s="79">
        <v>46067</v>
      </c>
      <c r="B728" s="83" t="s">
        <v>602</v>
      </c>
      <c r="C728" s="83" t="s">
        <v>483</v>
      </c>
      <c r="D728" s="83"/>
      <c r="E728" s="31">
        <v>137.09</v>
      </c>
      <c r="F728" s="63">
        <f t="shared" si="24"/>
        <v>20.563500000000001</v>
      </c>
      <c r="G728" s="84"/>
      <c r="H728" s="53">
        <f t="shared" si="25"/>
        <v>157.65350000000001</v>
      </c>
      <c r="I728" s="83"/>
    </row>
    <row r="729" spans="1:9" ht="18" customHeight="1">
      <c r="A729" s="79">
        <v>46067</v>
      </c>
      <c r="B729" s="83" t="s">
        <v>603</v>
      </c>
      <c r="C729" s="83" t="s">
        <v>604</v>
      </c>
      <c r="D729" s="83"/>
      <c r="E729" s="31">
        <v>191.3</v>
      </c>
      <c r="F729" s="63">
        <f t="shared" si="24"/>
        <v>28.695</v>
      </c>
      <c r="G729" s="84"/>
      <c r="H729" s="53">
        <f t="shared" si="25"/>
        <v>219.995</v>
      </c>
      <c r="I729" s="83"/>
    </row>
    <row r="730" spans="1:9" ht="18" customHeight="1">
      <c r="A730" s="79">
        <v>46067</v>
      </c>
      <c r="B730" s="81" t="s">
        <v>605</v>
      </c>
      <c r="C730" s="81" t="s">
        <v>606</v>
      </c>
      <c r="D730" s="81"/>
      <c r="E730" s="31">
        <v>7043.8</v>
      </c>
      <c r="F730" s="63">
        <f t="shared" si="24"/>
        <v>1056.57</v>
      </c>
      <c r="G730" s="82"/>
      <c r="H730" s="53">
        <f t="shared" si="25"/>
        <v>8100.37</v>
      </c>
      <c r="I730" s="81"/>
    </row>
    <row r="731" spans="1:9" ht="18" customHeight="1">
      <c r="A731" s="79">
        <v>46068</v>
      </c>
      <c r="B731" s="83" t="s">
        <v>607</v>
      </c>
      <c r="C731" s="83" t="s">
        <v>483</v>
      </c>
      <c r="D731" s="83"/>
      <c r="E731" s="31">
        <v>35</v>
      </c>
      <c r="F731" s="63">
        <f t="shared" si="24"/>
        <v>5.25</v>
      </c>
      <c r="G731" s="84"/>
      <c r="H731" s="53">
        <f t="shared" si="25"/>
        <v>40.25</v>
      </c>
      <c r="I731" s="83"/>
    </row>
    <row r="732" spans="1:9" ht="18" customHeight="1">
      <c r="A732" s="79">
        <v>46069</v>
      </c>
      <c r="B732" s="81" t="s">
        <v>608</v>
      </c>
      <c r="C732" s="81" t="s">
        <v>609</v>
      </c>
      <c r="D732" s="81"/>
      <c r="E732" s="31">
        <v>39.130000000000003</v>
      </c>
      <c r="F732" s="63">
        <f t="shared" si="24"/>
        <v>5.8695000000000004</v>
      </c>
      <c r="G732" s="82"/>
      <c r="H732" s="53">
        <f t="shared" si="25"/>
        <v>44.999500000000005</v>
      </c>
      <c r="I732" s="81"/>
    </row>
    <row r="733" spans="1:9" ht="18" customHeight="1">
      <c r="A733" s="79">
        <v>46069</v>
      </c>
      <c r="B733" s="83" t="s">
        <v>610</v>
      </c>
      <c r="C733" s="83" t="s">
        <v>611</v>
      </c>
      <c r="D733" s="83"/>
      <c r="E733" s="31">
        <v>63.48</v>
      </c>
      <c r="F733" s="63">
        <f t="shared" si="24"/>
        <v>9.5219999999999985</v>
      </c>
      <c r="G733" s="84"/>
      <c r="H733" s="53">
        <f t="shared" si="25"/>
        <v>73.001999999999995</v>
      </c>
      <c r="I733" s="83"/>
    </row>
    <row r="734" spans="1:9" ht="18" customHeight="1">
      <c r="A734" s="79">
        <v>46069</v>
      </c>
      <c r="B734" s="81" t="s">
        <v>612</v>
      </c>
      <c r="C734" s="81" t="s">
        <v>483</v>
      </c>
      <c r="D734" s="81"/>
      <c r="E734" s="31">
        <v>183.7</v>
      </c>
      <c r="F734" s="63">
        <f t="shared" si="24"/>
        <v>27.554999999999996</v>
      </c>
      <c r="G734" s="82"/>
      <c r="H734" s="53">
        <f t="shared" si="25"/>
        <v>211.255</v>
      </c>
      <c r="I734" s="81"/>
    </row>
    <row r="735" spans="1:9" ht="18" customHeight="1">
      <c r="A735" s="79">
        <v>46070</v>
      </c>
      <c r="B735" s="83" t="s">
        <v>613</v>
      </c>
      <c r="C735" s="83" t="s">
        <v>575</v>
      </c>
      <c r="D735" s="83"/>
      <c r="E735" s="31">
        <v>86.96</v>
      </c>
      <c r="F735" s="63">
        <f t="shared" si="24"/>
        <v>13.043999999999999</v>
      </c>
      <c r="G735" s="84"/>
      <c r="H735" s="53">
        <f t="shared" si="25"/>
        <v>100.00399999999999</v>
      </c>
      <c r="I735" s="83"/>
    </row>
    <row r="736" spans="1:9" ht="18" customHeight="1">
      <c r="A736" s="79">
        <v>46070</v>
      </c>
      <c r="B736" s="81" t="s">
        <v>614</v>
      </c>
      <c r="C736" s="81" t="s">
        <v>498</v>
      </c>
      <c r="D736" s="81"/>
      <c r="E736" s="31">
        <v>100</v>
      </c>
      <c r="F736" s="63">
        <f t="shared" si="24"/>
        <v>15</v>
      </c>
      <c r="G736" s="82"/>
      <c r="H736" s="53">
        <f t="shared" si="25"/>
        <v>115</v>
      </c>
      <c r="I736" s="81"/>
    </row>
    <row r="737" spans="1:9" ht="18" customHeight="1">
      <c r="A737" s="79">
        <v>46070</v>
      </c>
      <c r="B737" s="83" t="s">
        <v>615</v>
      </c>
      <c r="C737" s="83" t="s">
        <v>496</v>
      </c>
      <c r="D737" s="83"/>
      <c r="E737" s="31">
        <v>5737.5</v>
      </c>
      <c r="F737" s="63">
        <f t="shared" si="24"/>
        <v>860.625</v>
      </c>
      <c r="G737" s="84"/>
      <c r="H737" s="53">
        <f t="shared" si="25"/>
        <v>6598.125</v>
      </c>
      <c r="I737" s="83"/>
    </row>
    <row r="738" spans="1:9" ht="18" customHeight="1">
      <c r="A738" s="79">
        <v>46072</v>
      </c>
      <c r="B738" s="81" t="s">
        <v>616</v>
      </c>
      <c r="C738" s="81" t="s">
        <v>617</v>
      </c>
      <c r="D738" s="81"/>
      <c r="E738" s="31">
        <v>15.65</v>
      </c>
      <c r="F738" s="63">
        <f t="shared" si="24"/>
        <v>2.3475000000000001</v>
      </c>
      <c r="G738" s="82"/>
      <c r="H738" s="53">
        <f t="shared" si="25"/>
        <v>17.997500000000002</v>
      </c>
      <c r="I738" s="81"/>
    </row>
    <row r="739" spans="1:9" ht="18" customHeight="1">
      <c r="A739" s="79">
        <v>46072</v>
      </c>
      <c r="B739" s="83" t="s">
        <v>618</v>
      </c>
      <c r="C739" s="83" t="s">
        <v>609</v>
      </c>
      <c r="D739" s="83"/>
      <c r="E739" s="31">
        <v>39.130000000000003</v>
      </c>
      <c r="F739" s="63">
        <f t="shared" si="24"/>
        <v>5.8695000000000004</v>
      </c>
      <c r="G739" s="84"/>
      <c r="H739" s="53">
        <f t="shared" si="25"/>
        <v>44.999500000000005</v>
      </c>
      <c r="I739" s="83"/>
    </row>
    <row r="740" spans="1:9" ht="18" customHeight="1">
      <c r="A740" s="79">
        <v>46072</v>
      </c>
      <c r="B740" s="81" t="s">
        <v>619</v>
      </c>
      <c r="C740" s="81" t="s">
        <v>498</v>
      </c>
      <c r="D740" s="81"/>
      <c r="E740" s="31">
        <v>200</v>
      </c>
      <c r="F740" s="63">
        <f t="shared" ref="F740:F771" si="26">IFERROR(E740*$B$3,0)</f>
        <v>30</v>
      </c>
      <c r="G740" s="82"/>
      <c r="H740" s="53">
        <f t="shared" ref="H740:H771" si="27">IFERROR(E740+F740,0)</f>
        <v>230</v>
      </c>
      <c r="I740" s="81"/>
    </row>
    <row r="741" spans="1:9" ht="18" customHeight="1">
      <c r="A741" s="79">
        <v>46073</v>
      </c>
      <c r="B741" s="83" t="s">
        <v>620</v>
      </c>
      <c r="C741" s="83" t="s">
        <v>483</v>
      </c>
      <c r="D741" s="83"/>
      <c r="E741" s="31">
        <v>89.35</v>
      </c>
      <c r="F741" s="63">
        <f t="shared" si="26"/>
        <v>13.402499999999998</v>
      </c>
      <c r="G741" s="84"/>
      <c r="H741" s="53">
        <f t="shared" si="27"/>
        <v>102.7525</v>
      </c>
      <c r="I741" s="83"/>
    </row>
    <row r="742" spans="1:9" ht="18" customHeight="1">
      <c r="A742" s="79">
        <v>46073</v>
      </c>
      <c r="B742" s="81" t="s">
        <v>621</v>
      </c>
      <c r="C742" s="81" t="s">
        <v>494</v>
      </c>
      <c r="D742" s="81"/>
      <c r="E742" s="31">
        <v>862.63</v>
      </c>
      <c r="F742" s="63">
        <f t="shared" si="26"/>
        <v>129.39449999999999</v>
      </c>
      <c r="G742" s="82"/>
      <c r="H742" s="53">
        <f t="shared" si="27"/>
        <v>992.02449999999999</v>
      </c>
      <c r="I742" s="81"/>
    </row>
    <row r="743" spans="1:9" ht="18" customHeight="1">
      <c r="A743" s="79">
        <v>46075</v>
      </c>
      <c r="B743" s="83" t="s">
        <v>622</v>
      </c>
      <c r="C743" s="83" t="s">
        <v>505</v>
      </c>
      <c r="D743" s="83"/>
      <c r="E743" s="31">
        <v>6.96</v>
      </c>
      <c r="F743" s="63">
        <f t="shared" si="26"/>
        <v>1.044</v>
      </c>
      <c r="G743" s="84"/>
      <c r="H743" s="53">
        <f t="shared" si="27"/>
        <v>8.0039999999999996</v>
      </c>
      <c r="I743" s="83"/>
    </row>
    <row r="744" spans="1:9" ht="18" customHeight="1">
      <c r="A744" s="79">
        <v>46076</v>
      </c>
      <c r="B744" s="81" t="s">
        <v>623</v>
      </c>
      <c r="C744" s="81" t="s">
        <v>483</v>
      </c>
      <c r="D744" s="81"/>
      <c r="E744" s="31">
        <v>63</v>
      </c>
      <c r="F744" s="63">
        <f t="shared" si="26"/>
        <v>9.4499999999999993</v>
      </c>
      <c r="G744" s="82"/>
      <c r="H744" s="53">
        <f t="shared" si="27"/>
        <v>72.45</v>
      </c>
      <c r="I744" s="81"/>
    </row>
    <row r="745" spans="1:9" ht="18" customHeight="1">
      <c r="A745" s="79">
        <v>46076</v>
      </c>
      <c r="B745" s="83" t="s">
        <v>624</v>
      </c>
      <c r="C745" s="83" t="s">
        <v>483</v>
      </c>
      <c r="D745" s="83"/>
      <c r="E745" s="31">
        <v>65.5</v>
      </c>
      <c r="F745" s="63">
        <f t="shared" si="26"/>
        <v>9.8249999999999993</v>
      </c>
      <c r="G745" s="84"/>
      <c r="H745" s="53">
        <f t="shared" si="27"/>
        <v>75.325000000000003</v>
      </c>
      <c r="I745" s="83"/>
    </row>
    <row r="746" spans="1:9" ht="18" customHeight="1">
      <c r="A746" s="79">
        <v>46076</v>
      </c>
      <c r="B746" s="81" t="s">
        <v>625</v>
      </c>
      <c r="C746" s="81" t="s">
        <v>543</v>
      </c>
      <c r="D746" s="81"/>
      <c r="E746" s="31">
        <v>769.01</v>
      </c>
      <c r="F746" s="63">
        <f t="shared" si="26"/>
        <v>115.35149999999999</v>
      </c>
      <c r="G746" s="82"/>
      <c r="H746" s="53">
        <f t="shared" si="27"/>
        <v>884.36149999999998</v>
      </c>
      <c r="I746" s="81"/>
    </row>
    <row r="747" spans="1:9" ht="18" customHeight="1">
      <c r="A747" s="79">
        <v>46077</v>
      </c>
      <c r="B747" s="83" t="s">
        <v>626</v>
      </c>
      <c r="C747" s="83" t="s">
        <v>627</v>
      </c>
      <c r="D747" s="83"/>
      <c r="E747" s="31">
        <v>7.3</v>
      </c>
      <c r="F747" s="63">
        <f t="shared" si="26"/>
        <v>1.095</v>
      </c>
      <c r="G747" s="84"/>
      <c r="H747" s="53">
        <f t="shared" si="27"/>
        <v>8.3949999999999996</v>
      </c>
      <c r="I747" s="83"/>
    </row>
    <row r="748" spans="1:9" ht="18" customHeight="1">
      <c r="A748" s="79">
        <v>46077</v>
      </c>
      <c r="B748" s="81" t="s">
        <v>628</v>
      </c>
      <c r="C748" s="81" t="s">
        <v>518</v>
      </c>
      <c r="D748" s="81"/>
      <c r="E748" s="31">
        <v>24</v>
      </c>
      <c r="F748" s="63">
        <f t="shared" si="26"/>
        <v>3.5999999999999996</v>
      </c>
      <c r="G748" s="82"/>
      <c r="H748" s="53">
        <f t="shared" si="27"/>
        <v>27.6</v>
      </c>
      <c r="I748" s="81"/>
    </row>
    <row r="749" spans="1:9" ht="18" customHeight="1">
      <c r="A749" s="79">
        <v>46077</v>
      </c>
      <c r="B749" s="83" t="s">
        <v>629</v>
      </c>
      <c r="C749" s="83" t="s">
        <v>630</v>
      </c>
      <c r="D749" s="83"/>
      <c r="E749" s="31">
        <v>43.48</v>
      </c>
      <c r="F749" s="63">
        <f t="shared" si="26"/>
        <v>6.5219999999999994</v>
      </c>
      <c r="G749" s="84"/>
      <c r="H749" s="53">
        <f t="shared" si="27"/>
        <v>50.001999999999995</v>
      </c>
      <c r="I749" s="83"/>
    </row>
    <row r="750" spans="1:9" ht="18" customHeight="1">
      <c r="A750" s="79">
        <v>46077</v>
      </c>
      <c r="B750" s="81" t="s">
        <v>631</v>
      </c>
      <c r="C750" s="81" t="s">
        <v>575</v>
      </c>
      <c r="D750" s="81"/>
      <c r="E750" s="31">
        <v>60.87</v>
      </c>
      <c r="F750" s="63">
        <f t="shared" si="26"/>
        <v>9.1304999999999996</v>
      </c>
      <c r="G750" s="82"/>
      <c r="H750" s="53">
        <f t="shared" si="27"/>
        <v>70.000500000000002</v>
      </c>
      <c r="I750" s="81"/>
    </row>
    <row r="751" spans="1:9" ht="18" customHeight="1">
      <c r="A751" s="79">
        <v>46077</v>
      </c>
      <c r="B751" s="83" t="s">
        <v>632</v>
      </c>
      <c r="C751" s="83" t="s">
        <v>498</v>
      </c>
      <c r="D751" s="83"/>
      <c r="E751" s="31">
        <v>200</v>
      </c>
      <c r="F751" s="63">
        <f t="shared" si="26"/>
        <v>30</v>
      </c>
      <c r="G751" s="84"/>
      <c r="H751" s="53">
        <f t="shared" si="27"/>
        <v>230</v>
      </c>
      <c r="I751" s="83"/>
    </row>
    <row r="752" spans="1:9" ht="18" customHeight="1">
      <c r="A752" s="79">
        <v>46079</v>
      </c>
      <c r="B752" s="81" t="s">
        <v>633</v>
      </c>
      <c r="C752" s="81" t="s">
        <v>483</v>
      </c>
      <c r="D752" s="81"/>
      <c r="E752" s="31">
        <v>22.5</v>
      </c>
      <c r="F752" s="63">
        <f t="shared" si="26"/>
        <v>3.375</v>
      </c>
      <c r="G752" s="82"/>
      <c r="H752" s="53">
        <f t="shared" si="27"/>
        <v>25.875</v>
      </c>
      <c r="I752" s="81"/>
    </row>
    <row r="753" spans="1:9" ht="18" customHeight="1">
      <c r="A753" s="79">
        <v>46079</v>
      </c>
      <c r="B753" s="83" t="s">
        <v>634</v>
      </c>
      <c r="C753" s="83" t="s">
        <v>494</v>
      </c>
      <c r="D753" s="83"/>
      <c r="E753" s="31">
        <v>521.74</v>
      </c>
      <c r="F753" s="63">
        <f t="shared" si="26"/>
        <v>78.260999999999996</v>
      </c>
      <c r="G753" s="84"/>
      <c r="H753" s="53">
        <f t="shared" si="27"/>
        <v>600.00099999999998</v>
      </c>
      <c r="I753" s="83"/>
    </row>
    <row r="754" spans="1:9" ht="18" customHeight="1">
      <c r="A754" s="79">
        <v>46079</v>
      </c>
      <c r="B754" s="81" t="s">
        <v>635</v>
      </c>
      <c r="C754" s="81" t="s">
        <v>636</v>
      </c>
      <c r="D754" s="81"/>
      <c r="E754" s="31">
        <v>200</v>
      </c>
      <c r="F754" s="63">
        <f t="shared" si="26"/>
        <v>30</v>
      </c>
      <c r="G754" s="82"/>
      <c r="H754" s="53">
        <f t="shared" si="27"/>
        <v>230</v>
      </c>
      <c r="I754" s="81"/>
    </row>
    <row r="755" spans="1:9" ht="18" customHeight="1">
      <c r="A755" s="79">
        <v>46079</v>
      </c>
      <c r="B755" s="83" t="s">
        <v>637</v>
      </c>
      <c r="C755" s="83" t="s">
        <v>496</v>
      </c>
      <c r="D755" s="83"/>
      <c r="E755" s="31">
        <v>1066</v>
      </c>
      <c r="F755" s="63">
        <f t="shared" si="26"/>
        <v>159.9</v>
      </c>
      <c r="G755" s="84"/>
      <c r="H755" s="53">
        <f t="shared" si="27"/>
        <v>1225.9000000000001</v>
      </c>
      <c r="I755" s="83"/>
    </row>
    <row r="756" spans="1:9" ht="18" customHeight="1">
      <c r="A756" s="79">
        <v>46081</v>
      </c>
      <c r="B756" s="81" t="s">
        <v>638</v>
      </c>
      <c r="C756" s="81" t="s">
        <v>639</v>
      </c>
      <c r="D756" s="81"/>
      <c r="E756" s="31">
        <v>131.05000000000001</v>
      </c>
      <c r="F756" s="63">
        <f t="shared" si="26"/>
        <v>19.657500000000002</v>
      </c>
      <c r="G756" s="82"/>
      <c r="H756" s="53">
        <f t="shared" si="27"/>
        <v>150.70750000000001</v>
      </c>
      <c r="I756" s="81"/>
    </row>
    <row r="757" spans="1:9" ht="18" customHeight="1">
      <c r="A757" s="79">
        <v>46081</v>
      </c>
      <c r="B757" s="83" t="s">
        <v>640</v>
      </c>
      <c r="C757" s="83" t="s">
        <v>553</v>
      </c>
      <c r="D757" s="83"/>
      <c r="E757" s="31">
        <v>2236.09</v>
      </c>
      <c r="F757" s="63">
        <f t="shared" si="26"/>
        <v>335.4135</v>
      </c>
      <c r="G757" s="84"/>
      <c r="H757" s="53">
        <f t="shared" si="27"/>
        <v>2571.5035000000003</v>
      </c>
      <c r="I757" s="83"/>
    </row>
    <row r="758" spans="1:9" ht="18" customHeight="1">
      <c r="A758" s="79">
        <v>46084</v>
      </c>
      <c r="B758" s="81" t="s">
        <v>641</v>
      </c>
      <c r="C758" s="81" t="s">
        <v>642</v>
      </c>
      <c r="D758" s="81"/>
      <c r="E758" s="31">
        <v>52.17</v>
      </c>
      <c r="F758" s="63">
        <f t="shared" si="26"/>
        <v>7.8254999999999999</v>
      </c>
      <c r="G758" s="82"/>
      <c r="H758" s="53">
        <f t="shared" si="27"/>
        <v>59.9955</v>
      </c>
      <c r="I758" s="81"/>
    </row>
    <row r="759" spans="1:9" ht="18" customHeight="1">
      <c r="A759" s="79">
        <v>46085</v>
      </c>
      <c r="B759" s="83" t="s">
        <v>643</v>
      </c>
      <c r="C759" s="83" t="s">
        <v>498</v>
      </c>
      <c r="D759" s="83"/>
      <c r="E759" s="31">
        <v>100</v>
      </c>
      <c r="F759" s="63">
        <f t="shared" si="26"/>
        <v>15</v>
      </c>
      <c r="G759" s="84"/>
      <c r="H759" s="53">
        <f t="shared" si="27"/>
        <v>115</v>
      </c>
      <c r="I759" s="83"/>
    </row>
    <row r="760" spans="1:9" ht="18" customHeight="1">
      <c r="A760" s="79">
        <v>46086</v>
      </c>
      <c r="B760" s="81" t="s">
        <v>644</v>
      </c>
      <c r="C760" s="81" t="s">
        <v>483</v>
      </c>
      <c r="D760" s="81"/>
      <c r="E760" s="31">
        <v>23</v>
      </c>
      <c r="F760" s="63">
        <f t="shared" si="26"/>
        <v>3.4499999999999997</v>
      </c>
      <c r="G760" s="82"/>
      <c r="H760" s="53">
        <f t="shared" si="27"/>
        <v>26.45</v>
      </c>
      <c r="I760" s="81"/>
    </row>
    <row r="761" spans="1:9" ht="18" customHeight="1">
      <c r="A761" s="79">
        <v>46086</v>
      </c>
      <c r="B761" s="83" t="s">
        <v>645</v>
      </c>
      <c r="C761" s="83" t="s">
        <v>482</v>
      </c>
      <c r="D761" s="83"/>
      <c r="E761" s="31">
        <v>27.83</v>
      </c>
      <c r="F761" s="63">
        <f t="shared" si="26"/>
        <v>4.1744999999999992</v>
      </c>
      <c r="G761" s="84"/>
      <c r="H761" s="53">
        <f t="shared" si="27"/>
        <v>32.0045</v>
      </c>
      <c r="I761" s="83"/>
    </row>
    <row r="762" spans="1:9" ht="18" customHeight="1">
      <c r="A762" s="79">
        <v>46086</v>
      </c>
      <c r="B762" s="81" t="s">
        <v>646</v>
      </c>
      <c r="C762" s="81" t="s">
        <v>508</v>
      </c>
      <c r="D762" s="81"/>
      <c r="E762" s="31">
        <v>31.3</v>
      </c>
      <c r="F762" s="63">
        <f t="shared" si="26"/>
        <v>4.6950000000000003</v>
      </c>
      <c r="G762" s="82"/>
      <c r="H762" s="53">
        <f t="shared" si="27"/>
        <v>35.995000000000005</v>
      </c>
      <c r="I762" s="81"/>
    </row>
    <row r="763" spans="1:9" ht="18" customHeight="1">
      <c r="A763" s="79">
        <v>46086</v>
      </c>
      <c r="B763" s="83" t="s">
        <v>647</v>
      </c>
      <c r="C763" s="83" t="s">
        <v>483</v>
      </c>
      <c r="D763" s="83"/>
      <c r="E763" s="31">
        <v>117</v>
      </c>
      <c r="F763" s="63">
        <f t="shared" si="26"/>
        <v>17.55</v>
      </c>
      <c r="G763" s="84"/>
      <c r="H763" s="53">
        <f t="shared" si="27"/>
        <v>134.55000000000001</v>
      </c>
      <c r="I763" s="83"/>
    </row>
    <row r="764" spans="1:9" ht="18" customHeight="1">
      <c r="A764" s="79">
        <v>46086</v>
      </c>
      <c r="B764" s="81" t="s">
        <v>648</v>
      </c>
      <c r="C764" s="81" t="s">
        <v>498</v>
      </c>
      <c r="D764" s="81"/>
      <c r="E764" s="31">
        <v>1433.02</v>
      </c>
      <c r="F764" s="63">
        <f t="shared" si="26"/>
        <v>214.953</v>
      </c>
      <c r="G764" s="82"/>
      <c r="H764" s="53">
        <f t="shared" si="27"/>
        <v>1647.973</v>
      </c>
      <c r="I764" s="81"/>
    </row>
    <row r="765" spans="1:9" ht="18" customHeight="1">
      <c r="A765" s="79">
        <v>46087</v>
      </c>
      <c r="B765" s="83" t="s">
        <v>649</v>
      </c>
      <c r="C765" s="83" t="s">
        <v>489</v>
      </c>
      <c r="D765" s="83"/>
      <c r="E765" s="31">
        <v>229.6</v>
      </c>
      <c r="F765" s="63">
        <f t="shared" si="26"/>
        <v>34.44</v>
      </c>
      <c r="G765" s="84"/>
      <c r="H765" s="53">
        <f t="shared" si="27"/>
        <v>264.03999999999996</v>
      </c>
      <c r="I765" s="83"/>
    </row>
    <row r="766" spans="1:9" ht="18" customHeight="1">
      <c r="A766" s="79">
        <v>46091</v>
      </c>
      <c r="B766" s="81" t="s">
        <v>650</v>
      </c>
      <c r="C766" s="81" t="s">
        <v>496</v>
      </c>
      <c r="D766" s="81"/>
      <c r="E766" s="31">
        <v>3359</v>
      </c>
      <c r="F766" s="63">
        <f t="shared" si="26"/>
        <v>503.84999999999997</v>
      </c>
      <c r="G766" s="82"/>
      <c r="H766" s="53">
        <f t="shared" si="27"/>
        <v>3862.85</v>
      </c>
      <c r="I766" s="81"/>
    </row>
    <row r="767" spans="1:9" ht="18" customHeight="1">
      <c r="A767" s="79">
        <v>46095</v>
      </c>
      <c r="B767" s="83" t="s">
        <v>651</v>
      </c>
      <c r="C767" s="83" t="s">
        <v>483</v>
      </c>
      <c r="D767" s="83"/>
      <c r="E767" s="31">
        <v>18</v>
      </c>
      <c r="F767" s="63">
        <f t="shared" si="26"/>
        <v>2.6999999999999997</v>
      </c>
      <c r="G767" s="84"/>
      <c r="H767" s="53">
        <f t="shared" si="27"/>
        <v>20.7</v>
      </c>
      <c r="I767" s="83"/>
    </row>
    <row r="768" spans="1:9" ht="18" customHeight="1">
      <c r="A768" s="79">
        <v>46097</v>
      </c>
      <c r="B768" s="81" t="s">
        <v>652</v>
      </c>
      <c r="C768" s="81" t="s">
        <v>482</v>
      </c>
      <c r="D768" s="81"/>
      <c r="E768" s="31">
        <v>13.04</v>
      </c>
      <c r="F768" s="63">
        <f t="shared" si="26"/>
        <v>1.9559999999999997</v>
      </c>
      <c r="G768" s="82"/>
      <c r="H768" s="53">
        <f t="shared" si="27"/>
        <v>14.995999999999999</v>
      </c>
      <c r="I768" s="81"/>
    </row>
    <row r="769" spans="1:9" ht="18" customHeight="1">
      <c r="A769" s="79">
        <v>46097</v>
      </c>
      <c r="B769" s="83" t="s">
        <v>653</v>
      </c>
      <c r="C769" s="83" t="s">
        <v>654</v>
      </c>
      <c r="D769" s="83"/>
      <c r="E769" s="31">
        <v>34.78</v>
      </c>
      <c r="F769" s="63">
        <f t="shared" si="26"/>
        <v>5.2169999999999996</v>
      </c>
      <c r="G769" s="84"/>
      <c r="H769" s="53">
        <f t="shared" si="27"/>
        <v>39.997</v>
      </c>
      <c r="I769" s="83"/>
    </row>
    <row r="770" spans="1:9" ht="18" customHeight="1">
      <c r="A770" s="79">
        <v>46097</v>
      </c>
      <c r="B770" s="81" t="s">
        <v>655</v>
      </c>
      <c r="C770" s="81" t="s">
        <v>656</v>
      </c>
      <c r="D770" s="81"/>
      <c r="E770" s="31">
        <v>52.17</v>
      </c>
      <c r="F770" s="63">
        <f t="shared" si="26"/>
        <v>7.8254999999999999</v>
      </c>
      <c r="G770" s="82"/>
      <c r="H770" s="53">
        <f t="shared" si="27"/>
        <v>59.9955</v>
      </c>
      <c r="I770" s="81"/>
    </row>
    <row r="771" spans="1:9" ht="18" customHeight="1">
      <c r="A771" s="79">
        <v>46098</v>
      </c>
      <c r="B771" s="81" t="s">
        <v>657</v>
      </c>
      <c r="C771" s="81" t="s">
        <v>498</v>
      </c>
      <c r="D771" s="81"/>
      <c r="E771" s="31">
        <v>100</v>
      </c>
      <c r="F771" s="63">
        <f t="shared" si="26"/>
        <v>15</v>
      </c>
      <c r="G771" s="82"/>
      <c r="H771" s="53">
        <f t="shared" si="27"/>
        <v>115</v>
      </c>
      <c r="I771" s="81"/>
    </row>
    <row r="772" spans="1:9" ht="18" customHeight="1">
      <c r="A772" s="79">
        <v>46105</v>
      </c>
      <c r="B772" s="81" t="s">
        <v>658</v>
      </c>
      <c r="C772" s="81" t="s">
        <v>518</v>
      </c>
      <c r="D772" s="81"/>
      <c r="E772" s="31">
        <v>24</v>
      </c>
      <c r="F772" s="63">
        <f t="shared" ref="F772:F783" si="28">IFERROR(E772*$B$3,0)</f>
        <v>3.5999999999999996</v>
      </c>
      <c r="G772" s="82"/>
      <c r="H772" s="53">
        <f t="shared" ref="H772:H783" si="29">IFERROR(E772+F772,0)</f>
        <v>27.6</v>
      </c>
      <c r="I772" s="81"/>
    </row>
    <row r="773" spans="1:9" ht="18" customHeight="1">
      <c r="A773" s="79">
        <v>46105</v>
      </c>
      <c r="B773" s="81" t="s">
        <v>659</v>
      </c>
      <c r="C773" s="81" t="s">
        <v>494</v>
      </c>
      <c r="D773" s="81"/>
      <c r="E773" s="31">
        <v>2269.59</v>
      </c>
      <c r="F773" s="63">
        <f t="shared" si="28"/>
        <v>340.43850000000003</v>
      </c>
      <c r="G773" s="82"/>
      <c r="H773" s="53">
        <f t="shared" si="29"/>
        <v>2610.0285000000003</v>
      </c>
      <c r="I773" s="81"/>
    </row>
    <row r="774" spans="1:9" ht="18" customHeight="1">
      <c r="A774" s="79">
        <v>46108</v>
      </c>
      <c r="B774" s="81" t="s">
        <v>660</v>
      </c>
      <c r="C774" s="81" t="s">
        <v>575</v>
      </c>
      <c r="D774" s="81"/>
      <c r="E774" s="31">
        <v>36.520000000000003</v>
      </c>
      <c r="F774" s="63">
        <f t="shared" si="28"/>
        <v>5.4780000000000006</v>
      </c>
      <c r="G774" s="82"/>
      <c r="H774" s="53">
        <f t="shared" si="29"/>
        <v>41.998000000000005</v>
      </c>
      <c r="I774" s="81"/>
    </row>
    <row r="775" spans="1:9" ht="18" customHeight="1">
      <c r="A775" s="79">
        <v>46109</v>
      </c>
      <c r="B775" s="81" t="s">
        <v>661</v>
      </c>
      <c r="C775" s="81" t="s">
        <v>498</v>
      </c>
      <c r="D775" s="81"/>
      <c r="E775" s="31">
        <v>340</v>
      </c>
      <c r="F775" s="63">
        <f t="shared" si="28"/>
        <v>51</v>
      </c>
      <c r="G775" s="82"/>
      <c r="H775" s="53">
        <f t="shared" si="29"/>
        <v>391</v>
      </c>
      <c r="I775" s="81"/>
    </row>
    <row r="776" spans="1:9" ht="18" customHeight="1">
      <c r="A776" s="79">
        <v>46110</v>
      </c>
      <c r="B776" s="81" t="s">
        <v>662</v>
      </c>
      <c r="C776" s="81" t="s">
        <v>505</v>
      </c>
      <c r="D776" s="81"/>
      <c r="E776" s="31">
        <v>12.17</v>
      </c>
      <c r="F776" s="63">
        <f t="shared" si="28"/>
        <v>1.8254999999999999</v>
      </c>
      <c r="G776" s="82"/>
      <c r="H776" s="53">
        <f t="shared" si="29"/>
        <v>13.9955</v>
      </c>
      <c r="I776" s="81"/>
    </row>
    <row r="777" spans="1:9" ht="18" customHeight="1">
      <c r="A777" s="79">
        <v>46110</v>
      </c>
      <c r="B777" s="81" t="s">
        <v>663</v>
      </c>
      <c r="C777" s="81" t="s">
        <v>562</v>
      </c>
      <c r="D777" s="81"/>
      <c r="E777" s="31">
        <v>43.48</v>
      </c>
      <c r="F777" s="63">
        <f t="shared" si="28"/>
        <v>6.5219999999999994</v>
      </c>
      <c r="G777" s="82"/>
      <c r="H777" s="53">
        <f t="shared" si="29"/>
        <v>50.001999999999995</v>
      </c>
      <c r="I777" s="81"/>
    </row>
    <row r="778" spans="1:9" ht="18" customHeight="1">
      <c r="A778" s="79">
        <v>46111</v>
      </c>
      <c r="B778" s="81" t="s">
        <v>664</v>
      </c>
      <c r="C778" s="81" t="s">
        <v>575</v>
      </c>
      <c r="D778" s="81"/>
      <c r="E778" s="31">
        <v>43.48</v>
      </c>
      <c r="F778" s="63">
        <f t="shared" si="28"/>
        <v>6.5219999999999994</v>
      </c>
      <c r="G778" s="82"/>
      <c r="H778" s="53">
        <f t="shared" si="29"/>
        <v>50.001999999999995</v>
      </c>
      <c r="I778" s="81"/>
    </row>
    <row r="779" spans="1:9" ht="18" customHeight="1">
      <c r="A779" s="79">
        <v>46112</v>
      </c>
      <c r="B779" s="81" t="s">
        <v>665</v>
      </c>
      <c r="C779" s="81" t="s">
        <v>482</v>
      </c>
      <c r="D779" s="81"/>
      <c r="E779" s="31">
        <v>20.87</v>
      </c>
      <c r="F779" s="63">
        <f t="shared" si="28"/>
        <v>3.1305000000000001</v>
      </c>
      <c r="G779" s="82"/>
      <c r="H779" s="53">
        <f t="shared" si="29"/>
        <v>24.000500000000002</v>
      </c>
      <c r="I779" s="81"/>
    </row>
    <row r="780" spans="1:9" ht="18" customHeight="1">
      <c r="A780" s="79">
        <v>46112</v>
      </c>
      <c r="B780" s="83" t="s">
        <v>666</v>
      </c>
      <c r="C780" s="83" t="s">
        <v>498</v>
      </c>
      <c r="D780" s="83"/>
      <c r="E780" s="31">
        <v>300</v>
      </c>
      <c r="F780" s="63">
        <f t="shared" si="28"/>
        <v>45</v>
      </c>
      <c r="G780" s="84"/>
      <c r="H780" s="53">
        <f t="shared" si="29"/>
        <v>345</v>
      </c>
      <c r="I780" s="83"/>
    </row>
    <row r="781" spans="1:9" ht="18" customHeight="1">
      <c r="A781" s="79">
        <v>46112</v>
      </c>
      <c r="B781" s="81" t="s">
        <v>667</v>
      </c>
      <c r="C781" s="81" t="s">
        <v>543</v>
      </c>
      <c r="D781" s="81"/>
      <c r="E781" s="31">
        <v>619.24</v>
      </c>
      <c r="F781" s="63">
        <f t="shared" si="28"/>
        <v>92.885999999999996</v>
      </c>
      <c r="G781" s="82"/>
      <c r="H781" s="53">
        <f t="shared" si="29"/>
        <v>712.12599999999998</v>
      </c>
      <c r="I781" s="81"/>
    </row>
    <row r="782" spans="1:9" ht="18" customHeight="1">
      <c r="A782" s="79">
        <v>46112</v>
      </c>
      <c r="B782" s="83" t="s">
        <v>668</v>
      </c>
      <c r="C782" s="83" t="s">
        <v>553</v>
      </c>
      <c r="D782" s="83"/>
      <c r="E782" s="31">
        <v>1452.17</v>
      </c>
      <c r="F782" s="63">
        <f t="shared" si="28"/>
        <v>217.82550000000001</v>
      </c>
      <c r="G782" s="84"/>
      <c r="H782" s="53">
        <f t="shared" si="29"/>
        <v>1669.9955</v>
      </c>
      <c r="I782" s="83"/>
    </row>
    <row r="783" spans="1:9" ht="18" customHeight="1">
      <c r="A783" s="79">
        <v>46112</v>
      </c>
      <c r="B783" s="81" t="s">
        <v>669</v>
      </c>
      <c r="C783" s="81" t="s">
        <v>498</v>
      </c>
      <c r="D783" s="81"/>
      <c r="E783" s="31">
        <v>2092.39</v>
      </c>
      <c r="F783" s="63">
        <f t="shared" si="28"/>
        <v>313.85849999999999</v>
      </c>
      <c r="G783" s="82"/>
      <c r="H783" s="53">
        <f t="shared" si="29"/>
        <v>2406.2484999999997</v>
      </c>
      <c r="I783" s="81"/>
    </row>
    <row r="784" spans="1:9" ht="15" customHeight="1">
      <c r="A784" s="57"/>
      <c r="B784" s="57"/>
      <c r="C784" s="58" t="s">
        <v>670</v>
      </c>
      <c r="D784" s="57"/>
      <c r="E784" s="32">
        <f>SUM(E644:E783)</f>
        <v>211018.83</v>
      </c>
      <c r="F784" s="32">
        <f>SUM(F644:F783)</f>
        <v>31652.824499999992</v>
      </c>
      <c r="G784" s="57"/>
      <c r="H784" s="32">
        <f>SUM(H644:H783)</f>
        <v>242671.65449999995</v>
      </c>
      <c r="I784" s="57"/>
    </row>
    <row r="786" spans="1:6" ht="21.75" customHeight="1">
      <c r="A786" s="119" t="s">
        <v>671</v>
      </c>
      <c r="B786" s="119"/>
      <c r="C786" s="119"/>
      <c r="D786" s="119"/>
      <c r="E786" s="119"/>
      <c r="F786" s="119"/>
    </row>
    <row r="787" spans="1:6" ht="19.5" customHeight="1">
      <c r="A787" s="152" t="s">
        <v>672</v>
      </c>
      <c r="B787" s="152"/>
      <c r="C787" s="152"/>
      <c r="D787" s="85">
        <f>E640</f>
        <v>0</v>
      </c>
      <c r="E787" s="86" t="s">
        <v>673</v>
      </c>
    </row>
    <row r="788" spans="1:6" ht="19.5" customHeight="1">
      <c r="A788" s="153" t="s">
        <v>674</v>
      </c>
      <c r="B788" s="153"/>
      <c r="C788" s="153"/>
      <c r="D788" s="85">
        <f>F640</f>
        <v>0</v>
      </c>
      <c r="E788" s="87" t="s">
        <v>675</v>
      </c>
    </row>
    <row r="789" spans="1:6" ht="19.5" customHeight="1">
      <c r="A789" s="152" t="s">
        <v>676</v>
      </c>
      <c r="B789" s="152"/>
      <c r="C789" s="152"/>
      <c r="D789" s="85">
        <f>E784</f>
        <v>211018.83</v>
      </c>
      <c r="E789" s="86" t="s">
        <v>677</v>
      </c>
    </row>
    <row r="790" spans="1:6" ht="19.5" customHeight="1">
      <c r="A790" s="153" t="s">
        <v>678</v>
      </c>
      <c r="B790" s="153"/>
      <c r="C790" s="153"/>
      <c r="D790" s="85">
        <f>F784</f>
        <v>31652.824499999992</v>
      </c>
      <c r="E790" s="87" t="s">
        <v>679</v>
      </c>
    </row>
    <row r="791" spans="1:6" ht="19.5" customHeight="1">
      <c r="A791" s="154" t="s">
        <v>680</v>
      </c>
      <c r="B791" s="154"/>
      <c r="C791" s="154"/>
      <c r="D791" s="85">
        <f>F640-F784</f>
        <v>-31652.824499999992</v>
      </c>
      <c r="E791" s="88" t="s">
        <v>681</v>
      </c>
    </row>
    <row r="793" spans="1:6" ht="21.75" customHeight="1">
      <c r="A793" s="120" t="s">
        <v>682</v>
      </c>
      <c r="B793" s="120"/>
      <c r="C793" s="120"/>
      <c r="D793" s="120"/>
      <c r="E793" s="120"/>
      <c r="F793" s="120"/>
    </row>
    <row r="794" spans="1:6" ht="15" customHeight="1">
      <c r="A794" s="6" t="s">
        <v>475</v>
      </c>
      <c r="B794" s="6" t="s">
        <v>683</v>
      </c>
      <c r="C794" s="6" t="s">
        <v>684</v>
      </c>
      <c r="D794" s="6" t="s">
        <v>685</v>
      </c>
      <c r="E794" s="6" t="s">
        <v>686</v>
      </c>
      <c r="F794" s="6" t="s">
        <v>687</v>
      </c>
    </row>
    <row r="795" spans="1:6" ht="18" customHeight="1">
      <c r="A795" s="89" t="s">
        <v>688</v>
      </c>
      <c r="B795" s="25">
        <f>SUMPRODUCT((A7:A639&gt;=DATE(2026,1,1))*(A7:A639&lt;=DATE(2026,1,31))*E7:E639)</f>
        <v>0</v>
      </c>
      <c r="C795" s="25">
        <f>SUMPRODUCT((A7:A639&gt;=DATE(2026,1,1))*(A7:A639&lt;=DATE(2026,1,31))*F7:F639)</f>
        <v>0</v>
      </c>
      <c r="D795" s="25">
        <f>SUMPRODUCT((A644:A783&gt;=DATE(2026,1,1))*(A644:A783&lt;=DATE(2026,1,31))*E644:E783)</f>
        <v>47617.460000000006</v>
      </c>
      <c r="E795" s="25">
        <f>SUMPRODUCT((A644:A783&gt;=DATE(2026,1,1))*(A644:A783&lt;=DATE(2026,1,31))*F644:F783)</f>
        <v>7142.6189999999988</v>
      </c>
      <c r="F795" s="25">
        <f>C795-E795</f>
        <v>-7142.6189999999988</v>
      </c>
    </row>
    <row r="796" spans="1:6" ht="18" customHeight="1">
      <c r="A796" s="89" t="s">
        <v>689</v>
      </c>
      <c r="B796" s="25">
        <f>SUMPRODUCT((A7:A639&gt;=DATE(2026,2,1))*(A7:A639&lt;=DATE(2026,2,28))*E7:E639)</f>
        <v>0</v>
      </c>
      <c r="C796" s="25">
        <f>SUMPRODUCT((A7:A639&gt;=DATE(2026,2,1))*(A7:A639&lt;=DATE(2026,2,28))*F7:F639)</f>
        <v>0</v>
      </c>
      <c r="D796" s="25">
        <f>SUMPRODUCT((A644:A783&gt;=DATE(2026,2,1))*(A644:A783&lt;=DATE(2026,2,28))*E644:E783)</f>
        <v>150556.54999999999</v>
      </c>
      <c r="E796" s="25">
        <f>SUMPRODUCT((A644:A783&gt;=DATE(2026,2,1))*(A644:A783&lt;=DATE(2026,2,28))*F644:F783)</f>
        <v>22583.482500000002</v>
      </c>
      <c r="F796" s="25">
        <f>C796-E796</f>
        <v>-22583.482500000002</v>
      </c>
    </row>
    <row r="797" spans="1:6" ht="18" customHeight="1">
      <c r="A797" s="89" t="s">
        <v>690</v>
      </c>
      <c r="B797" s="25">
        <f>SUMPRODUCT((A7:A639&gt;=DATE(2026,3,1))*(A7:A639&lt;=DATE(2026,3,31))*E7:E639)</f>
        <v>0</v>
      </c>
      <c r="C797" s="25">
        <f>SUMPRODUCT((A7:A639&gt;=DATE(2026,3,1))*(A7:A639&lt;=DATE(2026,3,31))*F7:F639)</f>
        <v>0</v>
      </c>
      <c r="D797" s="25">
        <f>SUMPRODUCT((A644:A783&gt;=DATE(2026,3,1))*(A644:A783&lt;=DATE(2026,3,31))*E644:E783)</f>
        <v>12844.82</v>
      </c>
      <c r="E797" s="25">
        <f>SUMPRODUCT((A644:A783&gt;=DATE(2026,3,1))*(A644:A783&lt;=DATE(2026,3,31))*F644:F783)</f>
        <v>1926.723</v>
      </c>
      <c r="F797" s="25">
        <f>C797-E797</f>
        <v>-1926.723</v>
      </c>
    </row>
    <row r="798" spans="1:6" ht="15" customHeight="1">
      <c r="A798" s="90" t="s">
        <v>691</v>
      </c>
      <c r="B798" s="27">
        <f>SUM(B795:B797)</f>
        <v>0</v>
      </c>
      <c r="C798" s="27">
        <f>SUM(C795:C797)</f>
        <v>0</v>
      </c>
      <c r="D798" s="27">
        <f>SUM(D795:D797)</f>
        <v>211018.83000000002</v>
      </c>
      <c r="E798" s="27">
        <f>SUM(E795:E797)</f>
        <v>31652.824500000002</v>
      </c>
      <c r="F798" s="27">
        <f>C798-E798</f>
        <v>-31652.824500000002</v>
      </c>
    </row>
  </sheetData>
  <mergeCells count="11">
    <mergeCell ref="A793:F793"/>
    <mergeCell ref="A787:C787"/>
    <mergeCell ref="A788:C788"/>
    <mergeCell ref="A789:C789"/>
    <mergeCell ref="A790:C790"/>
    <mergeCell ref="A791:C791"/>
    <mergeCell ref="A1:I1"/>
    <mergeCell ref="A2:I2"/>
    <mergeCell ref="A5:I5"/>
    <mergeCell ref="A642:I642"/>
    <mergeCell ref="A786:F786"/>
  </mergeCell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75623"/>
  </sheetPr>
  <dimension ref="A1:J70"/>
  <sheetViews>
    <sheetView rightToLeft="1" topLeftCell="A64" zoomScaleNormal="100" workbookViewId="0">
      <selection activeCell="F42" sqref="F42:I63"/>
    </sheetView>
  </sheetViews>
  <sheetFormatPr defaultColWidth="8.7109375" defaultRowHeight="15"/>
  <cols>
    <col min="1" max="1" width="5" customWidth="1"/>
    <col min="2" max="2" width="12" customWidth="1"/>
    <col min="3" max="3" width="48.28515625" customWidth="1"/>
    <col min="4" max="4" width="14" customWidth="1"/>
    <col min="5" max="5" width="20" customWidth="1"/>
    <col min="6" max="8" width="16" customWidth="1"/>
    <col min="9" max="9" width="18" customWidth="1"/>
    <col min="10" max="10" width="14" customWidth="1"/>
  </cols>
  <sheetData>
    <row r="1" spans="1:10" ht="16.5" customHeight="1">
      <c r="A1" s="145" t="s">
        <v>692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0" ht="12" customHeight="1">
      <c r="A2" s="122" t="s">
        <v>693</v>
      </c>
      <c r="B2" s="122"/>
      <c r="C2" s="122"/>
      <c r="D2" s="122"/>
      <c r="E2" s="122"/>
      <c r="F2" s="122"/>
      <c r="G2" s="122"/>
      <c r="H2" s="122"/>
      <c r="I2" s="122"/>
      <c r="J2" s="122"/>
    </row>
    <row r="4" spans="1:10" ht="21.75" customHeight="1">
      <c r="A4" s="119" t="s">
        <v>694</v>
      </c>
      <c r="B4" s="119"/>
      <c r="C4" s="119"/>
      <c r="D4" s="119"/>
      <c r="E4" s="119"/>
      <c r="F4" s="119"/>
      <c r="G4" s="119"/>
      <c r="H4" s="119"/>
      <c r="I4" s="119"/>
      <c r="J4" s="119"/>
    </row>
    <row r="5" spans="1:10" ht="15" customHeight="1">
      <c r="A5" s="24" t="s">
        <v>3</v>
      </c>
      <c r="B5" s="24" t="s">
        <v>195</v>
      </c>
      <c r="C5" s="24" t="s">
        <v>695</v>
      </c>
      <c r="D5" s="24" t="s">
        <v>696</v>
      </c>
      <c r="E5" s="24" t="s">
        <v>697</v>
      </c>
      <c r="F5" s="24" t="s">
        <v>698</v>
      </c>
      <c r="G5" s="24" t="s">
        <v>699</v>
      </c>
      <c r="H5" s="24" t="s">
        <v>700</v>
      </c>
      <c r="I5" s="24" t="s">
        <v>701</v>
      </c>
      <c r="J5" s="24" t="s">
        <v>702</v>
      </c>
    </row>
    <row r="6" spans="1:10" ht="18" customHeight="1">
      <c r="A6" s="91">
        <v>1</v>
      </c>
      <c r="B6" s="92"/>
      <c r="C6" s="92"/>
      <c r="D6" s="92"/>
      <c r="E6" s="53">
        <f t="shared" ref="E6:E24" si="0">SUM(F6:I6)</f>
        <v>0</v>
      </c>
      <c r="F6" s="31"/>
      <c r="G6" s="31"/>
      <c r="H6" s="31"/>
      <c r="I6" s="31"/>
      <c r="J6" s="8" t="str">
        <f t="shared" ref="J6:J24" si="1">IF(E6=0,"",IF(I6&gt;0,"مشكوك فيه",IF(H6&gt;0,"متأخر","طبيعي")))</f>
        <v/>
      </c>
    </row>
    <row r="7" spans="1:10" ht="18" customHeight="1">
      <c r="A7" s="93">
        <v>2</v>
      </c>
      <c r="B7" s="92"/>
      <c r="C7" s="92"/>
      <c r="D7" s="92"/>
      <c r="E7" s="53">
        <f t="shared" si="0"/>
        <v>0</v>
      </c>
      <c r="F7" s="31"/>
      <c r="G7" s="31"/>
      <c r="H7" s="31"/>
      <c r="I7" s="31"/>
      <c r="J7" s="12" t="str">
        <f t="shared" si="1"/>
        <v/>
      </c>
    </row>
    <row r="8" spans="1:10" ht="18" customHeight="1">
      <c r="A8" s="91">
        <v>3</v>
      </c>
      <c r="B8" s="92"/>
      <c r="C8" s="92"/>
      <c r="D8" s="92"/>
      <c r="E8" s="53">
        <f t="shared" si="0"/>
        <v>0</v>
      </c>
      <c r="F8" s="31"/>
      <c r="G8" s="31"/>
      <c r="H8" s="31"/>
      <c r="I8" s="31"/>
      <c r="J8" s="12" t="str">
        <f t="shared" si="1"/>
        <v/>
      </c>
    </row>
    <row r="9" spans="1:10" ht="18" customHeight="1">
      <c r="A9" s="93">
        <v>4</v>
      </c>
      <c r="B9" s="92"/>
      <c r="C9" s="92"/>
      <c r="D9" s="92"/>
      <c r="E9" s="53">
        <f t="shared" si="0"/>
        <v>0</v>
      </c>
      <c r="F9" s="31"/>
      <c r="G9" s="31"/>
      <c r="H9" s="31"/>
      <c r="I9" s="31"/>
      <c r="J9" s="8" t="str">
        <f t="shared" si="1"/>
        <v/>
      </c>
    </row>
    <row r="10" spans="1:10" ht="18" customHeight="1">
      <c r="A10" s="91">
        <v>5</v>
      </c>
      <c r="B10" s="92"/>
      <c r="C10" s="92"/>
      <c r="D10" s="92"/>
      <c r="E10" s="53">
        <f t="shared" si="0"/>
        <v>0</v>
      </c>
      <c r="F10" s="31"/>
      <c r="G10" s="31"/>
      <c r="H10" s="31"/>
      <c r="I10" s="31"/>
      <c r="J10" s="12" t="str">
        <f t="shared" si="1"/>
        <v/>
      </c>
    </row>
    <row r="11" spans="1:10" ht="18" customHeight="1">
      <c r="A11" s="93">
        <v>6</v>
      </c>
      <c r="B11" s="92"/>
      <c r="C11" s="92"/>
      <c r="D11" s="92"/>
      <c r="E11" s="53">
        <f t="shared" si="0"/>
        <v>0</v>
      </c>
      <c r="F11" s="31"/>
      <c r="G11" s="31"/>
      <c r="H11" s="31"/>
      <c r="I11" s="31"/>
      <c r="J11" s="8" t="str">
        <f t="shared" si="1"/>
        <v/>
      </c>
    </row>
    <row r="12" spans="1:10" ht="18" customHeight="1">
      <c r="A12" s="91">
        <v>7</v>
      </c>
      <c r="B12" s="92"/>
      <c r="C12" s="92"/>
      <c r="D12" s="92"/>
      <c r="E12" s="53">
        <f t="shared" si="0"/>
        <v>0</v>
      </c>
      <c r="F12" s="31"/>
      <c r="G12" s="31"/>
      <c r="H12" s="31"/>
      <c r="I12" s="31"/>
      <c r="J12" s="12" t="str">
        <f t="shared" si="1"/>
        <v/>
      </c>
    </row>
    <row r="13" spans="1:10" ht="18" customHeight="1">
      <c r="A13" s="93">
        <v>8</v>
      </c>
      <c r="B13" s="92"/>
      <c r="C13" s="92"/>
      <c r="D13" s="92"/>
      <c r="E13" s="53">
        <f t="shared" si="0"/>
        <v>0</v>
      </c>
      <c r="F13" s="31"/>
      <c r="G13" s="31"/>
      <c r="H13" s="31"/>
      <c r="I13" s="31"/>
      <c r="J13" s="8" t="str">
        <f t="shared" si="1"/>
        <v/>
      </c>
    </row>
    <row r="14" spans="1:10" ht="18" customHeight="1">
      <c r="A14" s="91">
        <v>9</v>
      </c>
      <c r="B14" s="92"/>
      <c r="C14" s="92"/>
      <c r="D14" s="92"/>
      <c r="E14" s="53">
        <f t="shared" si="0"/>
        <v>0</v>
      </c>
      <c r="F14" s="31"/>
      <c r="G14" s="31"/>
      <c r="H14" s="31"/>
      <c r="I14" s="31"/>
      <c r="J14" s="12" t="str">
        <f t="shared" si="1"/>
        <v/>
      </c>
    </row>
    <row r="15" spans="1:10" ht="18" customHeight="1">
      <c r="A15" s="93">
        <v>10</v>
      </c>
      <c r="B15" s="92"/>
      <c r="C15" s="92"/>
      <c r="D15" s="92"/>
      <c r="E15" s="53">
        <f t="shared" si="0"/>
        <v>0</v>
      </c>
      <c r="F15" s="31"/>
      <c r="G15" s="31"/>
      <c r="H15" s="31"/>
      <c r="I15" s="31"/>
      <c r="J15" s="8" t="str">
        <f t="shared" si="1"/>
        <v/>
      </c>
    </row>
    <row r="16" spans="1:10" ht="18" customHeight="1">
      <c r="A16" s="91">
        <v>11</v>
      </c>
      <c r="B16" s="92"/>
      <c r="C16" s="92"/>
      <c r="D16" s="92"/>
      <c r="E16" s="53">
        <f t="shared" si="0"/>
        <v>0</v>
      </c>
      <c r="F16" s="31"/>
      <c r="G16" s="31"/>
      <c r="H16" s="31"/>
      <c r="I16" s="31"/>
      <c r="J16" s="12" t="str">
        <f t="shared" si="1"/>
        <v/>
      </c>
    </row>
    <row r="17" spans="1:10" ht="18" customHeight="1">
      <c r="A17" s="93">
        <v>12</v>
      </c>
      <c r="B17" s="92"/>
      <c r="C17" s="92"/>
      <c r="D17" s="92"/>
      <c r="E17" s="53">
        <f t="shared" si="0"/>
        <v>0</v>
      </c>
      <c r="F17" s="31"/>
      <c r="G17" s="31"/>
      <c r="H17" s="31"/>
      <c r="I17" s="31"/>
      <c r="J17" s="8" t="str">
        <f t="shared" si="1"/>
        <v/>
      </c>
    </row>
    <row r="18" spans="1:10" ht="18" customHeight="1">
      <c r="A18" s="91">
        <v>13</v>
      </c>
      <c r="B18" s="92"/>
      <c r="C18" s="92"/>
      <c r="D18" s="92"/>
      <c r="E18" s="53">
        <f t="shared" si="0"/>
        <v>0</v>
      </c>
      <c r="F18" s="31"/>
      <c r="G18" s="31"/>
      <c r="H18" s="31"/>
      <c r="I18" s="31"/>
      <c r="J18" s="12" t="str">
        <f t="shared" si="1"/>
        <v/>
      </c>
    </row>
    <row r="19" spans="1:10" ht="18" customHeight="1">
      <c r="A19" s="93">
        <v>14</v>
      </c>
      <c r="B19" s="92"/>
      <c r="C19" s="92"/>
      <c r="D19" s="92"/>
      <c r="E19" s="53">
        <f t="shared" si="0"/>
        <v>0</v>
      </c>
      <c r="F19" s="31"/>
      <c r="G19" s="31"/>
      <c r="H19" s="31"/>
      <c r="I19" s="31"/>
      <c r="J19" s="8" t="str">
        <f t="shared" si="1"/>
        <v/>
      </c>
    </row>
    <row r="20" spans="1:10" ht="18" customHeight="1">
      <c r="A20" s="91">
        <v>15</v>
      </c>
      <c r="B20" s="92"/>
      <c r="C20" s="92"/>
      <c r="D20" s="92"/>
      <c r="E20" s="53">
        <f t="shared" si="0"/>
        <v>0</v>
      </c>
      <c r="F20" s="31"/>
      <c r="G20" s="31"/>
      <c r="H20" s="31"/>
      <c r="I20" s="31"/>
      <c r="J20" s="12" t="str">
        <f t="shared" si="1"/>
        <v/>
      </c>
    </row>
    <row r="21" spans="1:10" ht="18" customHeight="1">
      <c r="A21" s="93">
        <v>16</v>
      </c>
      <c r="B21" s="92"/>
      <c r="C21" s="92"/>
      <c r="D21" s="92"/>
      <c r="E21" s="53">
        <f t="shared" si="0"/>
        <v>0</v>
      </c>
      <c r="F21" s="31"/>
      <c r="G21" s="31"/>
      <c r="H21" s="31"/>
      <c r="I21" s="31"/>
      <c r="J21" s="8" t="str">
        <f t="shared" si="1"/>
        <v/>
      </c>
    </row>
    <row r="22" spans="1:10" ht="18" customHeight="1">
      <c r="A22" s="91">
        <v>17</v>
      </c>
      <c r="B22" s="92"/>
      <c r="C22" s="92"/>
      <c r="D22" s="92"/>
      <c r="E22" s="53">
        <f t="shared" si="0"/>
        <v>0</v>
      </c>
      <c r="F22" s="31"/>
      <c r="G22" s="31"/>
      <c r="H22" s="31"/>
      <c r="I22" s="31"/>
      <c r="J22" s="12" t="str">
        <f t="shared" si="1"/>
        <v/>
      </c>
    </row>
    <row r="23" spans="1:10" ht="18" customHeight="1">
      <c r="A23" s="93">
        <v>18</v>
      </c>
      <c r="B23" s="92"/>
      <c r="C23" s="92"/>
      <c r="D23" s="92"/>
      <c r="E23" s="53">
        <f t="shared" si="0"/>
        <v>0</v>
      </c>
      <c r="F23" s="31"/>
      <c r="G23" s="31"/>
      <c r="H23" s="31"/>
      <c r="I23" s="31"/>
      <c r="J23" s="8" t="str">
        <f t="shared" si="1"/>
        <v/>
      </c>
    </row>
    <row r="24" spans="1:10" ht="18" customHeight="1">
      <c r="A24" s="91">
        <v>19</v>
      </c>
      <c r="B24" s="92"/>
      <c r="C24" s="92"/>
      <c r="D24" s="92"/>
      <c r="E24" s="53">
        <f t="shared" si="0"/>
        <v>0</v>
      </c>
      <c r="F24" s="31"/>
      <c r="G24" s="31"/>
      <c r="H24" s="31"/>
      <c r="I24" s="31"/>
      <c r="J24" s="12" t="str">
        <f t="shared" si="1"/>
        <v/>
      </c>
    </row>
    <row r="25" spans="1:10" ht="15" customHeight="1">
      <c r="A25" s="57"/>
      <c r="B25" s="57"/>
      <c r="C25" s="58" t="s">
        <v>703</v>
      </c>
      <c r="D25" s="57"/>
      <c r="E25" s="32">
        <f>SUM(E6:E24)</f>
        <v>0</v>
      </c>
      <c r="F25" s="32">
        <f>SUM(F6:F24)</f>
        <v>0</v>
      </c>
      <c r="G25" s="32">
        <f>SUM(G6:G24)</f>
        <v>0</v>
      </c>
      <c r="H25" s="32">
        <f>SUM(H6:H24)</f>
        <v>0</v>
      </c>
      <c r="I25" s="32">
        <f>SUM(I6:I24)</f>
        <v>0</v>
      </c>
      <c r="J25" s="57"/>
    </row>
    <row r="26" spans="1:10" ht="21.75" customHeight="1">
      <c r="A26" s="120" t="s">
        <v>704</v>
      </c>
      <c r="B26" s="120"/>
      <c r="C26" s="120"/>
      <c r="D26" s="120"/>
      <c r="E26" s="120"/>
      <c r="F26" s="120"/>
    </row>
    <row r="27" spans="1:10" ht="18" customHeight="1">
      <c r="A27" s="8" t="s">
        <v>698</v>
      </c>
      <c r="B27" s="94">
        <f>F25</f>
        <v>0</v>
      </c>
      <c r="C27" s="95">
        <f>IFERROR(F25/E25,0)</f>
        <v>0</v>
      </c>
      <c r="D27" s="96" t="s">
        <v>705</v>
      </c>
    </row>
    <row r="28" spans="1:10" ht="18" customHeight="1">
      <c r="A28" s="12" t="s">
        <v>699</v>
      </c>
      <c r="B28" s="97">
        <f>G25</f>
        <v>0</v>
      </c>
      <c r="C28" s="95">
        <f>IFERROR(G25/E25,0)</f>
        <v>0</v>
      </c>
      <c r="D28" s="96" t="s">
        <v>705</v>
      </c>
    </row>
    <row r="29" spans="1:10" ht="18" customHeight="1">
      <c r="A29" s="8" t="s">
        <v>700</v>
      </c>
      <c r="B29" s="94">
        <f>H25</f>
        <v>0</v>
      </c>
      <c r="C29" s="95">
        <f>IFERROR(H25/E25,0)</f>
        <v>0</v>
      </c>
      <c r="D29" s="96" t="s">
        <v>705</v>
      </c>
    </row>
    <row r="30" spans="1:10" ht="18" customHeight="1">
      <c r="A30" s="12" t="s">
        <v>701</v>
      </c>
      <c r="B30" s="97">
        <f>I25</f>
        <v>0</v>
      </c>
      <c r="C30" s="95">
        <f>IFERROR(I25/E25,0)</f>
        <v>0</v>
      </c>
      <c r="D30" s="96" t="s">
        <v>705</v>
      </c>
    </row>
    <row r="32" spans="1:10" ht="21.75" customHeight="1">
      <c r="A32" s="151" t="s">
        <v>706</v>
      </c>
      <c r="B32" s="151"/>
      <c r="C32" s="151"/>
      <c r="D32" s="151"/>
      <c r="E32" s="151"/>
      <c r="F32" s="151"/>
    </row>
    <row r="33" spans="1:10" ht="18" customHeight="1">
      <c r="A33" s="8" t="s">
        <v>698</v>
      </c>
      <c r="B33" s="94">
        <f>F25</f>
        <v>0</v>
      </c>
      <c r="C33" s="78">
        <v>0</v>
      </c>
      <c r="D33" s="98">
        <f>B33*C33</f>
        <v>0</v>
      </c>
      <c r="E33" s="67" t="s">
        <v>707</v>
      </c>
    </row>
    <row r="34" spans="1:10" ht="18" customHeight="1">
      <c r="A34" s="12" t="s">
        <v>699</v>
      </c>
      <c r="B34" s="97">
        <f>G25</f>
        <v>0</v>
      </c>
      <c r="C34" s="78">
        <v>0.05</v>
      </c>
      <c r="D34" s="98">
        <f>B34*C34</f>
        <v>0</v>
      </c>
      <c r="E34" s="67" t="s">
        <v>707</v>
      </c>
    </row>
    <row r="35" spans="1:10" ht="18" customHeight="1">
      <c r="A35" s="8" t="s">
        <v>700</v>
      </c>
      <c r="B35" s="94">
        <f>H25</f>
        <v>0</v>
      </c>
      <c r="C35" s="78">
        <v>0.25</v>
      </c>
      <c r="D35" s="98">
        <f>B35*C35</f>
        <v>0</v>
      </c>
      <c r="E35" s="67" t="s">
        <v>707</v>
      </c>
    </row>
    <row r="36" spans="1:10" ht="18" customHeight="1">
      <c r="A36" s="12" t="s">
        <v>708</v>
      </c>
      <c r="B36" s="97">
        <f>I25</f>
        <v>0</v>
      </c>
      <c r="C36" s="78">
        <v>0.5</v>
      </c>
      <c r="D36" s="98">
        <f>B36*C36</f>
        <v>0</v>
      </c>
      <c r="E36" s="67" t="s">
        <v>707</v>
      </c>
    </row>
    <row r="37" spans="1:10" ht="15" customHeight="1">
      <c r="A37" s="58" t="s">
        <v>709</v>
      </c>
      <c r="B37" s="57"/>
      <c r="C37" s="57"/>
      <c r="D37" s="32">
        <f>SUM(D33:D36)</f>
        <v>0</v>
      </c>
      <c r="E37" s="57"/>
    </row>
    <row r="40" spans="1:10" ht="21.75" customHeight="1">
      <c r="A40" s="119" t="s">
        <v>710</v>
      </c>
      <c r="B40" s="119"/>
      <c r="C40" s="119"/>
      <c r="D40" s="119"/>
      <c r="E40" s="119"/>
      <c r="F40" s="119"/>
      <c r="G40" s="119"/>
      <c r="H40" s="119"/>
      <c r="I40" s="119"/>
      <c r="J40" s="119"/>
    </row>
    <row r="41" spans="1:10" ht="15" customHeight="1">
      <c r="A41" s="24" t="s">
        <v>3</v>
      </c>
      <c r="B41" s="24" t="s">
        <v>195</v>
      </c>
      <c r="C41" s="24" t="s">
        <v>711</v>
      </c>
      <c r="D41" s="24" t="s">
        <v>712</v>
      </c>
      <c r="E41" s="24" t="s">
        <v>697</v>
      </c>
      <c r="F41" s="24" t="s">
        <v>698</v>
      </c>
      <c r="G41" s="24" t="s">
        <v>699</v>
      </c>
      <c r="H41" s="24" t="s">
        <v>700</v>
      </c>
      <c r="I41" s="24" t="s">
        <v>701</v>
      </c>
      <c r="J41" s="24" t="s">
        <v>713</v>
      </c>
    </row>
    <row r="42" spans="1:10" ht="18" customHeight="1">
      <c r="A42" s="93">
        <v>1</v>
      </c>
      <c r="B42" s="12"/>
      <c r="C42" s="12"/>
      <c r="D42" s="12"/>
      <c r="E42" s="53">
        <f t="shared" ref="E42:E49" si="2">SUM(F42:I42)</f>
        <v>0</v>
      </c>
      <c r="F42" s="31"/>
      <c r="G42" s="31"/>
      <c r="H42" s="31"/>
      <c r="I42" s="31"/>
      <c r="J42" s="12" t="str">
        <f t="shared" ref="J42:J49" si="3">IF(E42=0,"",IF(I42&gt;0,"عاجل",IF(H42&gt;0,"قريباً","عادي")))</f>
        <v/>
      </c>
    </row>
    <row r="43" spans="1:10" ht="18" customHeight="1">
      <c r="A43" s="91">
        <v>2</v>
      </c>
      <c r="B43" s="8"/>
      <c r="C43" s="8"/>
      <c r="D43" s="8"/>
      <c r="E43" s="53">
        <f t="shared" si="2"/>
        <v>0</v>
      </c>
      <c r="F43" s="31"/>
      <c r="G43" s="31"/>
      <c r="H43" s="31"/>
      <c r="I43" s="31"/>
      <c r="J43" s="8" t="str">
        <f t="shared" si="3"/>
        <v/>
      </c>
    </row>
    <row r="44" spans="1:10" ht="18" customHeight="1">
      <c r="A44" s="93">
        <v>3</v>
      </c>
      <c r="B44" s="92"/>
      <c r="C44" s="92"/>
      <c r="D44" s="92"/>
      <c r="E44" s="53">
        <f t="shared" si="2"/>
        <v>0</v>
      </c>
      <c r="F44" s="31"/>
      <c r="G44" s="31"/>
      <c r="H44" s="31"/>
      <c r="I44" s="31"/>
      <c r="J44" s="12" t="str">
        <f t="shared" si="3"/>
        <v/>
      </c>
    </row>
    <row r="45" spans="1:10" ht="18" customHeight="1">
      <c r="A45" s="91">
        <v>4</v>
      </c>
      <c r="B45" s="92"/>
      <c r="C45" s="92"/>
      <c r="D45" s="92"/>
      <c r="E45" s="53">
        <f t="shared" si="2"/>
        <v>0</v>
      </c>
      <c r="F45" s="31"/>
      <c r="G45" s="31"/>
      <c r="H45" s="31"/>
      <c r="I45" s="31"/>
      <c r="J45" s="8" t="str">
        <f t="shared" si="3"/>
        <v/>
      </c>
    </row>
    <row r="46" spans="1:10" ht="18" customHeight="1">
      <c r="A46" s="93">
        <v>5</v>
      </c>
      <c r="B46" s="92"/>
      <c r="C46" s="92"/>
      <c r="D46" s="92"/>
      <c r="E46" s="53">
        <f t="shared" si="2"/>
        <v>0</v>
      </c>
      <c r="F46" s="31"/>
      <c r="G46" s="31"/>
      <c r="H46" s="31"/>
      <c r="I46" s="31"/>
      <c r="J46" s="12" t="str">
        <f t="shared" si="3"/>
        <v/>
      </c>
    </row>
    <row r="47" spans="1:10" ht="18" customHeight="1">
      <c r="A47" s="91">
        <v>6</v>
      </c>
      <c r="B47" s="92"/>
      <c r="C47" s="92"/>
      <c r="D47" s="92"/>
      <c r="E47" s="53">
        <f t="shared" si="2"/>
        <v>0</v>
      </c>
      <c r="F47" s="31"/>
      <c r="G47" s="31"/>
      <c r="H47" s="31"/>
      <c r="I47" s="31"/>
      <c r="J47" s="8" t="str">
        <f t="shared" si="3"/>
        <v/>
      </c>
    </row>
    <row r="48" spans="1:10" ht="18" customHeight="1">
      <c r="A48" s="93">
        <v>7</v>
      </c>
      <c r="B48" s="92"/>
      <c r="C48" s="92"/>
      <c r="D48" s="92"/>
      <c r="E48" s="53">
        <f t="shared" si="2"/>
        <v>0</v>
      </c>
      <c r="F48" s="31"/>
      <c r="G48" s="31"/>
      <c r="H48" s="31"/>
      <c r="I48" s="31"/>
      <c r="J48" s="12" t="str">
        <f t="shared" si="3"/>
        <v/>
      </c>
    </row>
    <row r="49" spans="1:10" ht="18" customHeight="1">
      <c r="A49" s="91">
        <v>8</v>
      </c>
      <c r="B49" s="92"/>
      <c r="C49" s="92"/>
      <c r="D49" s="92"/>
      <c r="E49" s="53">
        <f t="shared" si="2"/>
        <v>0</v>
      </c>
      <c r="F49" s="31"/>
      <c r="G49" s="31"/>
      <c r="H49" s="31"/>
      <c r="I49" s="31"/>
      <c r="J49" s="8" t="str">
        <f t="shared" si="3"/>
        <v/>
      </c>
    </row>
    <row r="50" spans="1:10" ht="18" customHeight="1">
      <c r="A50" s="93">
        <v>9</v>
      </c>
      <c r="B50" s="92"/>
      <c r="C50" s="92"/>
      <c r="D50" s="92"/>
      <c r="E50" s="53"/>
      <c r="F50" s="31"/>
      <c r="G50" s="31"/>
      <c r="H50" s="31"/>
      <c r="I50" s="31"/>
      <c r="J50" s="8"/>
    </row>
    <row r="51" spans="1:10" ht="18" customHeight="1">
      <c r="A51" s="91">
        <v>10</v>
      </c>
      <c r="B51" s="92"/>
      <c r="C51" s="92"/>
      <c r="D51" s="92"/>
      <c r="E51" s="53"/>
      <c r="F51" s="31"/>
      <c r="G51" s="31"/>
      <c r="H51" s="31"/>
      <c r="I51" s="31"/>
      <c r="J51" s="8"/>
    </row>
    <row r="52" spans="1:10" ht="18" customHeight="1">
      <c r="A52" s="93">
        <v>11</v>
      </c>
      <c r="B52" s="92"/>
      <c r="C52" s="92"/>
      <c r="D52" s="92"/>
      <c r="E52" s="53"/>
      <c r="F52" s="31"/>
      <c r="G52" s="31"/>
      <c r="H52" s="31"/>
      <c r="I52" s="31"/>
      <c r="J52" s="8"/>
    </row>
    <row r="53" spans="1:10" ht="18" customHeight="1">
      <c r="A53" s="91">
        <v>12</v>
      </c>
      <c r="B53" s="92"/>
      <c r="C53" s="92"/>
      <c r="D53" s="92"/>
      <c r="E53" s="53"/>
      <c r="F53" s="31"/>
      <c r="G53" s="31"/>
      <c r="H53" s="31"/>
      <c r="I53" s="31"/>
      <c r="J53" s="8"/>
    </row>
    <row r="54" spans="1:10" ht="18" customHeight="1">
      <c r="A54" s="93">
        <v>13</v>
      </c>
      <c r="B54" s="92"/>
      <c r="C54" s="92"/>
      <c r="D54" s="92"/>
      <c r="E54" s="53"/>
      <c r="F54" s="31"/>
      <c r="G54" s="31"/>
      <c r="H54" s="31"/>
      <c r="I54" s="31"/>
      <c r="J54" s="8"/>
    </row>
    <row r="55" spans="1:10" ht="18" customHeight="1">
      <c r="A55" s="91">
        <v>14</v>
      </c>
      <c r="B55" s="92"/>
      <c r="C55" s="92"/>
      <c r="D55" s="92"/>
      <c r="E55" s="53"/>
      <c r="F55" s="31"/>
      <c r="G55" s="31"/>
      <c r="H55" s="31"/>
      <c r="I55" s="31"/>
      <c r="J55" s="8"/>
    </row>
    <row r="56" spans="1:10" ht="18" customHeight="1">
      <c r="A56" s="93">
        <v>15</v>
      </c>
      <c r="B56" s="92"/>
      <c r="C56" s="92"/>
      <c r="D56" s="92"/>
      <c r="E56" s="53"/>
      <c r="F56" s="31"/>
      <c r="G56" s="31"/>
      <c r="H56" s="31"/>
      <c r="I56" s="31"/>
      <c r="J56" s="8"/>
    </row>
    <row r="57" spans="1:10" ht="18" customHeight="1">
      <c r="A57" s="91">
        <v>16</v>
      </c>
      <c r="B57" s="92"/>
      <c r="C57" s="92"/>
      <c r="D57" s="92"/>
      <c r="E57" s="53">
        <f t="shared" ref="E57:E63" si="4">SUM(F57:I57)</f>
        <v>0</v>
      </c>
      <c r="F57" s="31"/>
      <c r="G57" s="31"/>
      <c r="H57" s="31"/>
      <c r="I57" s="31"/>
      <c r="J57" s="12" t="str">
        <f t="shared" ref="J57:J63" si="5">IF(E57=0,"",IF(I57&gt;0,"عاجل",IF(H57&gt;0,"قريباً","عادي")))</f>
        <v/>
      </c>
    </row>
    <row r="58" spans="1:10" ht="18" customHeight="1">
      <c r="A58" s="93">
        <v>17</v>
      </c>
      <c r="B58" s="92"/>
      <c r="C58" s="92"/>
      <c r="D58" s="92"/>
      <c r="E58" s="53">
        <f t="shared" si="4"/>
        <v>0</v>
      </c>
      <c r="F58" s="31"/>
      <c r="G58" s="31"/>
      <c r="H58" s="31"/>
      <c r="I58" s="31"/>
      <c r="J58" s="8" t="str">
        <f t="shared" si="5"/>
        <v/>
      </c>
    </row>
    <row r="59" spans="1:10" ht="18" customHeight="1">
      <c r="A59" s="91">
        <v>18</v>
      </c>
      <c r="B59" s="92"/>
      <c r="C59" s="92"/>
      <c r="D59" s="92"/>
      <c r="E59" s="53">
        <f t="shared" si="4"/>
        <v>0</v>
      </c>
      <c r="F59" s="31"/>
      <c r="G59" s="31"/>
      <c r="H59" s="31"/>
      <c r="I59" s="31"/>
      <c r="J59" s="12" t="str">
        <f t="shared" si="5"/>
        <v/>
      </c>
    </row>
    <row r="60" spans="1:10" ht="18" customHeight="1">
      <c r="A60" s="93">
        <v>19</v>
      </c>
      <c r="B60" s="92"/>
      <c r="C60" s="92"/>
      <c r="D60" s="92"/>
      <c r="E60" s="53">
        <f t="shared" si="4"/>
        <v>0</v>
      </c>
      <c r="F60" s="31"/>
      <c r="G60" s="31"/>
      <c r="H60" s="31"/>
      <c r="I60" s="31"/>
      <c r="J60" s="8" t="str">
        <f t="shared" si="5"/>
        <v/>
      </c>
    </row>
    <row r="61" spans="1:10" ht="18" customHeight="1">
      <c r="A61" s="91">
        <v>20</v>
      </c>
      <c r="B61" s="92"/>
      <c r="C61" s="92"/>
      <c r="D61" s="92"/>
      <c r="E61" s="53">
        <f t="shared" si="4"/>
        <v>0</v>
      </c>
      <c r="F61" s="31"/>
      <c r="G61" s="31"/>
      <c r="H61" s="31"/>
      <c r="I61" s="31"/>
      <c r="J61" s="12" t="str">
        <f t="shared" si="5"/>
        <v/>
      </c>
    </row>
    <row r="62" spans="1:10" ht="18" customHeight="1">
      <c r="A62" s="93">
        <v>21</v>
      </c>
      <c r="B62" s="92"/>
      <c r="C62" s="92"/>
      <c r="D62" s="92"/>
      <c r="E62" s="53">
        <f t="shared" si="4"/>
        <v>0</v>
      </c>
      <c r="F62" s="31"/>
      <c r="G62" s="31"/>
      <c r="H62" s="31"/>
      <c r="I62" s="31"/>
      <c r="J62" s="8" t="str">
        <f t="shared" si="5"/>
        <v/>
      </c>
    </row>
    <row r="63" spans="1:10" ht="18" customHeight="1">
      <c r="A63" s="91">
        <v>22</v>
      </c>
      <c r="B63" s="92"/>
      <c r="C63" s="92"/>
      <c r="D63" s="92"/>
      <c r="E63" s="53">
        <f t="shared" si="4"/>
        <v>0</v>
      </c>
      <c r="F63" s="31"/>
      <c r="G63" s="31"/>
      <c r="H63" s="31"/>
      <c r="I63" s="31"/>
      <c r="J63" s="12" t="str">
        <f t="shared" si="5"/>
        <v/>
      </c>
    </row>
    <row r="64" spans="1:10" ht="15" customHeight="1">
      <c r="A64" s="57"/>
      <c r="B64" s="57"/>
      <c r="C64" s="58" t="s">
        <v>714</v>
      </c>
      <c r="D64" s="57"/>
      <c r="E64" s="32">
        <f>SUM(E42:E63)</f>
        <v>0</v>
      </c>
      <c r="F64" s="32">
        <f>SUM(F42:F63)</f>
        <v>0</v>
      </c>
      <c r="G64" s="32">
        <f>SUM(G42:G63)</f>
        <v>0</v>
      </c>
      <c r="H64" s="32">
        <f>SUM(H42:H63)</f>
        <v>0</v>
      </c>
      <c r="I64" s="32">
        <f>SUM(I42:I63)</f>
        <v>0</v>
      </c>
      <c r="J64" s="57"/>
    </row>
    <row r="67" spans="1:6" ht="21.75" customHeight="1">
      <c r="A67" s="119" t="s">
        <v>715</v>
      </c>
      <c r="B67" s="119"/>
      <c r="C67" s="119"/>
      <c r="D67" s="119"/>
      <c r="E67" s="119"/>
      <c r="F67" s="119"/>
    </row>
    <row r="68" spans="1:6" ht="19.5" customHeight="1">
      <c r="A68" s="155" t="s">
        <v>716</v>
      </c>
      <c r="B68" s="155"/>
      <c r="C68" s="155"/>
      <c r="D68" s="94">
        <f>E25</f>
        <v>0</v>
      </c>
    </row>
    <row r="69" spans="1:6" ht="19.5" customHeight="1">
      <c r="A69" s="156" t="s">
        <v>717</v>
      </c>
      <c r="B69" s="156"/>
      <c r="C69" s="156"/>
      <c r="D69" s="97">
        <f>E64</f>
        <v>0</v>
      </c>
    </row>
    <row r="70" spans="1:6" ht="19.5" customHeight="1">
      <c r="A70" s="157" t="s">
        <v>718</v>
      </c>
      <c r="B70" s="157"/>
      <c r="C70" s="157"/>
      <c r="D70" s="34">
        <f>E25-E64</f>
        <v>0</v>
      </c>
    </row>
  </sheetData>
  <mergeCells count="10">
    <mergeCell ref="A40:J40"/>
    <mergeCell ref="A67:F67"/>
    <mergeCell ref="A68:C68"/>
    <mergeCell ref="A69:C69"/>
    <mergeCell ref="A70:C70"/>
    <mergeCell ref="A1:J1"/>
    <mergeCell ref="A2:J2"/>
    <mergeCell ref="A4:J4"/>
    <mergeCell ref="A26:F26"/>
    <mergeCell ref="A32:F3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864"/>
  </sheetPr>
  <dimension ref="A1:D55"/>
  <sheetViews>
    <sheetView rightToLeft="1" zoomScaleNormal="100" workbookViewId="0">
      <selection activeCell="J42" sqref="J42"/>
    </sheetView>
  </sheetViews>
  <sheetFormatPr defaultColWidth="8.7109375" defaultRowHeight="15"/>
  <cols>
    <col min="1" max="1" width="4" customWidth="1"/>
    <col min="2" max="2" width="44" customWidth="1"/>
    <col min="3" max="4" width="24" customWidth="1"/>
  </cols>
  <sheetData>
    <row r="1" spans="1:4" ht="18" customHeight="1">
      <c r="A1" s="117" t="s">
        <v>41</v>
      </c>
      <c r="B1" s="117"/>
      <c r="C1" s="117"/>
      <c r="D1" s="117"/>
    </row>
    <row r="2" spans="1:4" ht="13.5" customHeight="1">
      <c r="A2" s="118" t="s">
        <v>42</v>
      </c>
      <c r="B2" s="118"/>
      <c r="C2" s="118"/>
      <c r="D2" s="118"/>
    </row>
    <row r="4" spans="1:4" ht="15" customHeight="1">
      <c r="B4" s="24" t="s">
        <v>43</v>
      </c>
      <c r="C4" s="24" t="s">
        <v>44</v>
      </c>
      <c r="D4" s="24" t="s">
        <v>45</v>
      </c>
    </row>
    <row r="5" spans="1:4" ht="21.75" customHeight="1">
      <c r="A5" s="119" t="s">
        <v>46</v>
      </c>
      <c r="B5" s="119"/>
      <c r="C5" s="119"/>
      <c r="D5" s="119"/>
    </row>
    <row r="6" spans="1:4" ht="21.75" customHeight="1">
      <c r="A6" s="120" t="s">
        <v>47</v>
      </c>
      <c r="B6" s="120"/>
      <c r="C6" s="120"/>
      <c r="D6" s="120"/>
    </row>
    <row r="7" spans="1:4" ht="18" customHeight="1">
      <c r="B7" s="12" t="s">
        <v>48</v>
      </c>
      <c r="C7" s="25">
        <f>SUMIF('ميزان المراجعة'!$A$5:$A$121,"111101",'ميزان المراجعة'!$J$5:$J$121)+SUMIF('ميزان المراجعة'!$A$5:$A$121,"111102",'ميزان المراجعة'!$J$5:$J$121)+SUMIF('ميزان المراجعة'!$A$5:$A$121,"111103",'ميزان المراجعة'!$J$5:$J$121)+SUMIF('ميزان المراجعة'!$A$5:$A$121,"111104",'ميزان المراجعة'!$J$5:$J$121)+SUMIF('ميزان المراجعة'!$A$5:$A$121,"111201",'ميزان المراجعة'!$J$5:$J$121)+SUMIF('ميزان المراجعة'!$A$5:$A$121,"111202",'ميزان المراجعة'!$J$5:$J$121)+SUMIF('ميزان المراجعة'!$A$5:$A$121,"111203",'ميزان المراجعة'!$J$5:$J$121)</f>
        <v>0</v>
      </c>
      <c r="D7" s="25" t="e">
        <f>VLOOKUP("111101",'ميزان المراجعة'!$A$5:$D$121,4,0)+VLOOKUP("111102",'ميزان المراجعة'!$A$5:$D$121,4,0)+VLOOKUP("111103",'ميزان المراجعة'!$A$5:$D$121,4,0)+VLOOKUP("111104",'ميزان المراجعة'!$A$5:$D$121,4,0)+VLOOKUP("111201",'ميزان المراجعة'!$A$5:$D$121,4,0)+VLOOKUP("111202",'ميزان المراجعة'!$A$5:$D$121,4,0)+VLOOKUP("111203",'ميزان المراجعة'!$A$5:$D$121,4,0)</f>
        <v>#N/A</v>
      </c>
    </row>
    <row r="8" spans="1:4" ht="18" customHeight="1">
      <c r="B8" s="12" t="s">
        <v>49</v>
      </c>
      <c r="C8" s="25">
        <f>MAX(SUMIF('ميزان المراجعة'!$A$5:$A$121,"113001",'ميزان المراجعة'!$J$5:$J$121)+SUMIF('ميزان المراجعة'!$A$5:$A$121,"113003",'ميزان المراجعة'!$J$5:$J$121),0)</f>
        <v>0</v>
      </c>
      <c r="D8" s="25">
        <f>IFERROR(VLOOKUP("113001",'ميزان المراجعة'!$A$5:$D$121,4,0),0)+IFERROR(VLOOKUP("113003",'ميزان المراجعة'!$A$5:$D$121,4,0),0)</f>
        <v>0</v>
      </c>
    </row>
    <row r="9" spans="1:4" ht="18" customHeight="1">
      <c r="B9" s="12" t="s">
        <v>50</v>
      </c>
      <c r="C9" s="25">
        <f>SUMIF('ميزان المراجعة'!$A$5:$A$121,"114010",'ميزان المراجعة'!$J$5:$J$121)</f>
        <v>0</v>
      </c>
      <c r="D9" s="25">
        <f>IFERROR(VLOOKUP("114010",'ميزان المراجعة'!$A$5:$D$121,4,0),0)</f>
        <v>0</v>
      </c>
    </row>
    <row r="10" spans="1:4" ht="18" customHeight="1">
      <c r="B10" s="12" t="s">
        <v>51</v>
      </c>
      <c r="C10" s="25">
        <f>MAX(SUMIF('ميزان المراجعة'!$A$5:$A$121,"111041",'ميزان المراجعة'!$J$5:$J$121),0)</f>
        <v>0</v>
      </c>
      <c r="D10" s="25">
        <f>IFERROR(VLOOKUP("111041",'ميزان المراجعة'!$A$5:$D$121,4,0),0)</f>
        <v>0</v>
      </c>
    </row>
    <row r="11" spans="1:4" ht="18" customHeight="1">
      <c r="B11" s="12" t="s">
        <v>52</v>
      </c>
      <c r="C11" s="25">
        <f>MAX(SUMIF('ميزان المراجعة'!$A$5:$A$121,"115007",'ميزان المراجعة'!$J$5:$J$121),0)+MAX(SUMIF('ميزان المراجعة'!$A$5:$A$121,"115010",'ميزان المراجعة'!$J$5:$J$121),0)</f>
        <v>0</v>
      </c>
      <c r="D11" s="25">
        <f>IFERROR(VLOOKUP("115007",'ميزان المراجعة'!$A$5:$D$121,4,0),0)+IFERROR(VLOOKUP("115010",'ميزان المراجعة'!$A$5:$D$121,4,0),0)</f>
        <v>0</v>
      </c>
    </row>
    <row r="12" spans="1:4" ht="18" customHeight="1">
      <c r="B12" s="12" t="s">
        <v>53</v>
      </c>
      <c r="C12" s="25">
        <f>MAX(SUMIF('ميزان المراجعة'!$A$5:$A$121,"116005",'ميزان المراجعة'!$J$5:$J$121),0)+MAX(SUMIF('ميزان المراجعة'!$A$5:$A$121,"116006",'ميزان المراجعة'!$J$5:$J$121),0)+MAX(SUMIF('ميزان المراجعة'!$A$5:$A$121,"116007",'ميزان المراجعة'!$J$5:$J$121),0)+MAX(SUMIF('ميزان المراجعة'!$A$5:$A$121,"116010",'ميزان المراجعة'!$J$5:$J$121),0)+MAX(SUMIF('ميزان المراجعة'!$A$5:$A$121,"116012",'ميزان المراجعة'!$J$5:$J$121),0)</f>
        <v>0</v>
      </c>
      <c r="D12" s="25">
        <f>IFERROR(VLOOKUP("116005",'ميزان المراجعة'!$A$5:$D$121,4,0),0)+IFERROR(VLOOKUP("116006",'ميزان المراجعة'!$A$5:$D$121,4,0),0)+IFERROR(VLOOKUP("116007",'ميزان المراجعة'!$A$5:$D$121,4,0),0)+IFERROR(VLOOKUP("116010",'ميزان المراجعة'!$A$5:$D$121,4,0),0)+IFERROR(VLOOKUP("116012",'ميزان المراجعة'!$A$5:$D$121,4,0),0)</f>
        <v>0</v>
      </c>
    </row>
    <row r="13" spans="1:4" ht="18" customHeight="1">
      <c r="B13" s="12" t="s">
        <v>54</v>
      </c>
      <c r="C13" s="25">
        <f>MAX(SUMIF('ميزان المراجعة'!$A$5:$A$121,"213009",'ميزان المراجعة'!$J$5:$J$121),0)+MAX(SUMIF('ميزان المراجعة'!$A$5:$A$121,"101000",'ميزان المراجعة'!$J$5:$J$121),0)+MAX(SUMIF('ميزان المراجعة'!$A$5:$A$121,"201031",'ميزان المراجعة'!$J$5:$J$121),0)</f>
        <v>0</v>
      </c>
      <c r="D13" s="25">
        <f>IFERROR(VLOOKUP("213009",'ميزان المراجعة'!$A$5:$D$121,4,0),0)+IFERROR(VLOOKUP("101000",'ميزان المراجعة'!$A$5:$D$121,4,0),0)+IFERROR(VLOOKUP("201031",'ميزان المراجعة'!$A$5:$D$121,4,0),0)</f>
        <v>0</v>
      </c>
    </row>
    <row r="14" spans="1:4" ht="18" customHeight="1">
      <c r="B14" s="26" t="s">
        <v>55</v>
      </c>
      <c r="C14" s="27">
        <f>SUM(C7:C13)</f>
        <v>0</v>
      </c>
      <c r="D14" s="27" t="e">
        <f>SUM(D7:D13)</f>
        <v>#N/A</v>
      </c>
    </row>
    <row r="16" spans="1:4" ht="21.75" customHeight="1">
      <c r="A16" s="120" t="s">
        <v>56</v>
      </c>
      <c r="B16" s="120"/>
      <c r="C16" s="120"/>
      <c r="D16" s="120"/>
    </row>
    <row r="17" spans="1:4" ht="18" customHeight="1">
      <c r="B17" s="12" t="s">
        <v>57</v>
      </c>
      <c r="C17" s="25">
        <f>SUMIF('ميزان المراجعة'!$A$5:$A$121,"121001",'ميزان المراجعة'!$J$5:$J$121)+SUMIF('ميزان المراجعة'!$A$5:$A$121,"122001",'ميزان المراجعة'!$J$5:$J$121)</f>
        <v>0</v>
      </c>
      <c r="D17" s="25">
        <f>IFERROR(VLOOKUP("121001",'ميزان المراجعة'!$A$5:$D$121,4,0),0)-IFERROR(VLOOKUP("122001",'ميزان المراجعة'!$A$5:$E$121,5,0),0)</f>
        <v>0</v>
      </c>
    </row>
    <row r="18" spans="1:4" ht="18" customHeight="1">
      <c r="B18" s="12" t="s">
        <v>58</v>
      </c>
      <c r="C18" s="25">
        <f>SUMIF('ميزان المراجعة'!$A$5:$A$121,"121002",'ميزان المراجعة'!$J$5:$J$121)+SUMIF('ميزان المراجعة'!$A$5:$A$121,"122002",'ميزان المراجعة'!$J$5:$J$121)</f>
        <v>0</v>
      </c>
      <c r="D18" s="25">
        <f>IFERROR(VLOOKUP("121002",'ميزان المراجعة'!$A$5:$D$121,4,0),0)-IFERROR(VLOOKUP("122002",'ميزان المراجعة'!$A$5:$E$121,5,0),0)</f>
        <v>0</v>
      </c>
    </row>
    <row r="19" spans="1:4" ht="18" customHeight="1">
      <c r="B19" s="12" t="s">
        <v>59</v>
      </c>
      <c r="C19" s="25">
        <f>SUMIF('ميزان المراجعة'!$A$5:$A$121,"121003",'ميزان المراجعة'!$J$5:$J$121)+SUMIF('ميزان المراجعة'!$A$5:$A$121,"122003",'ميزان المراجعة'!$J$5:$J$121)</f>
        <v>0</v>
      </c>
      <c r="D19" s="25">
        <f>IFERROR(VLOOKUP("121003",'ميزان المراجعة'!$A$5:$D$121,4,0),0)-IFERROR(VLOOKUP("122003",'ميزان المراجعة'!$A$5:$E$121,5,0),0)</f>
        <v>0</v>
      </c>
    </row>
    <row r="20" spans="1:4" ht="18" customHeight="1">
      <c r="B20" s="12" t="s">
        <v>60</v>
      </c>
      <c r="C20" s="25">
        <f>SUMIF('ميزان المراجعة'!$A$5:$A$121,"121004",'ميزان المراجعة'!$J$5:$J$121)+SUMIF('ميزان المراجعة'!$A$5:$A$121,"122004",'ميزان المراجعة'!$J$5:$J$121)</f>
        <v>0</v>
      </c>
      <c r="D20" s="25">
        <f>IFERROR(VLOOKUP("121004",'ميزان المراجعة'!$A$5:$D$121,4,0),0)-IFERROR(VLOOKUP("122004",'ميزان المراجعة'!$A$5:$E$121,5,0),0)</f>
        <v>0</v>
      </c>
    </row>
    <row r="21" spans="1:4" ht="18" customHeight="1">
      <c r="B21" s="12" t="s">
        <v>61</v>
      </c>
      <c r="C21" s="25">
        <f>SUMIF('ميزان المراجعة'!$A$5:$A$121,"121005",'ميزان المراجعة'!$J$5:$J$121)+SUMIF('ميزان المراجعة'!$A$5:$A$121,"122005",'ميزان المراجعة'!$J$5:$J$121)</f>
        <v>0</v>
      </c>
      <c r="D21" s="25">
        <f>IFERROR(VLOOKUP("121005",'ميزان المراجعة'!$A$5:$D$121,4,0),0)-IFERROR(VLOOKUP("122005",'ميزان المراجعة'!$A$5:$E$121,5,0),0)</f>
        <v>0</v>
      </c>
    </row>
    <row r="22" spans="1:4" ht="18" customHeight="1">
      <c r="B22" s="12" t="s">
        <v>62</v>
      </c>
      <c r="C22" s="25">
        <f>SUMIF('ميزان المراجعة'!$A$5:$A$121,"121006",'ميزان المراجعة'!$J$5:$J$121)+SUMIF('ميزان المراجعة'!$A$5:$A$121,"122006",'ميزان المراجعة'!$J$5:$J$121)</f>
        <v>0</v>
      </c>
      <c r="D22" s="25">
        <f>IFERROR(VLOOKUP("121006",'ميزان المراجعة'!$A$5:$D$121,4,0),0)-IFERROR(VLOOKUP("122006",'ميزان المراجعة'!$A$5:$E$121,5,0),0)</f>
        <v>0</v>
      </c>
    </row>
    <row r="23" spans="1:4" ht="18" customHeight="1">
      <c r="B23" s="12" t="s">
        <v>63</v>
      </c>
      <c r="C23" s="25">
        <f>SUMIF('ميزان المراجعة'!$A$5:$A$121,"121007",'ميزان المراجعة'!$J$5:$J$121)+SUMIF('ميزان المراجعة'!$A$5:$A$121,"122007",'ميزان المراجعة'!$J$5:$J$121)</f>
        <v>0</v>
      </c>
      <c r="D23" s="25">
        <f>IFERROR(VLOOKUP("121007",'ميزان المراجعة'!$A$5:$D$121,4,0),0)-IFERROR(VLOOKUP("122007",'ميزان المراجعة'!$A$5:$E$121,5,0),0)</f>
        <v>0</v>
      </c>
    </row>
    <row r="24" spans="1:4" ht="18" customHeight="1">
      <c r="B24" s="26" t="s">
        <v>64</v>
      </c>
      <c r="C24" s="27">
        <f>SUM(C17:C23)</f>
        <v>0</v>
      </c>
      <c r="D24" s="27">
        <f>SUM(D17:D23)</f>
        <v>0</v>
      </c>
    </row>
    <row r="25" spans="1:4" ht="21.75" customHeight="1">
      <c r="B25" s="28" t="s">
        <v>38</v>
      </c>
      <c r="C25" s="27">
        <f>C14+C24</f>
        <v>0</v>
      </c>
      <c r="D25" s="27" t="e">
        <f>D14+D24</f>
        <v>#N/A</v>
      </c>
    </row>
    <row r="28" spans="1:4" ht="21.75" customHeight="1">
      <c r="A28" s="119" t="s">
        <v>65</v>
      </c>
      <c r="B28" s="119"/>
      <c r="C28" s="119"/>
      <c r="D28" s="119"/>
    </row>
    <row r="29" spans="1:4" ht="21.75" customHeight="1">
      <c r="A29" s="120" t="s">
        <v>66</v>
      </c>
      <c r="B29" s="120"/>
      <c r="C29" s="120"/>
      <c r="D29" s="120"/>
    </row>
    <row r="30" spans="1:4" ht="18" customHeight="1">
      <c r="B30" s="12" t="s">
        <v>67</v>
      </c>
      <c r="C30" s="25">
        <f>MAX(-SUMIF('ميزان المراجعة'!$A$5:$A$121,"211001",'ميزان المراجعة'!$J$5:$J$121),0)</f>
        <v>0</v>
      </c>
      <c r="D30" s="25">
        <f>IFERROR(VLOOKUP("211001",'ميزان المراجعة'!$A$5:$E$121,5,0),0)</f>
        <v>0</v>
      </c>
    </row>
    <row r="31" spans="1:4" ht="18" customHeight="1">
      <c r="B31" s="12" t="s">
        <v>68</v>
      </c>
      <c r="C31" s="25">
        <f>MAX(-SUMIF('ميزان المراجعة'!$A$5:$A$121,"212003",'ميزان المراجعة'!$J$5:$J$121),0)</f>
        <v>0</v>
      </c>
      <c r="D31" s="25">
        <f>IFERROR(VLOOKUP("212003",'ميزان المراجعة'!$A$5:$E$121,5,0),0)</f>
        <v>0</v>
      </c>
    </row>
    <row r="32" spans="1:4" ht="18" customHeight="1">
      <c r="B32" s="12" t="s">
        <v>69</v>
      </c>
      <c r="C32" s="25">
        <f>MAX(-SUMIF('ميزان المراجعة'!$A$5:$A$121,"201019",'ميزان المراجعة'!$J$5:$J$121),0)</f>
        <v>0</v>
      </c>
      <c r="D32" s="25">
        <f>IFERROR(VLOOKUP("201019",'ميزان المراجعة'!$A$5:$E$121,5,0),0)</f>
        <v>0</v>
      </c>
    </row>
    <row r="33" spans="1:4" ht="18" customHeight="1">
      <c r="B33" s="12" t="s">
        <v>70</v>
      </c>
      <c r="C33" s="25">
        <f>MAX(-SUMIF('ميزان المراجعة'!$A$5:$A$121,"213003",'ميزان المراجعة'!$J$5:$J$121),0)+MAX(-SUMIF('ميزان المراجعة'!$A$5:$A$121,"212001",'ميزان المراجعة'!$J$5:$J$121),0)</f>
        <v>0</v>
      </c>
      <c r="D33" s="25">
        <f>IFERROR(VLOOKUP("213003",'ميزان المراجعة'!$A$5:$E$121,5,0),0)+IFERROR(VLOOKUP("212001",'ميزان المراجعة'!$A$5:$E$121,5,0),0)</f>
        <v>0</v>
      </c>
    </row>
    <row r="34" spans="1:4" ht="18" customHeight="1">
      <c r="B34" s="12" t="s">
        <v>71</v>
      </c>
      <c r="C34" s="25">
        <f>MAX(-SUMIF('ميزان المراجعة'!$A$5:$A$121,"213010",'ميزان المراجعة'!$J$5:$J$121),0)</f>
        <v>0</v>
      </c>
      <c r="D34" s="25">
        <f>IFERROR(VLOOKUP("213010",'ميزان المراجعة'!$A$5:$E$121,5,0),0)</f>
        <v>0</v>
      </c>
    </row>
    <row r="35" spans="1:4" ht="18" customHeight="1">
      <c r="B35" s="12" t="s">
        <v>72</v>
      </c>
      <c r="C35" s="25">
        <f>MAX(-SUMIF('ميزان المراجعة'!$A$5:$A$121,"213001",'ميزان المراجعة'!$J$5:$J$121),0)+MAX(-SUMIF('ميزان المراجعة'!$A$5:$A$121,"201017",'ميزان المراجعة'!$J$5:$J$121),0)+MAX(-SUMIF('ميزان المراجعة'!$A$5:$A$121,"111041",'ميزان المراجعة'!$J$5:$J$121),0)</f>
        <v>0</v>
      </c>
      <c r="D35" s="25">
        <f>IFERROR(VLOOKUP("213001",'ميزان المراجعة'!$A$5:$E$121,5,0),0)</f>
        <v>0</v>
      </c>
    </row>
    <row r="36" spans="1:4" ht="18" customHeight="1">
      <c r="B36" s="12" t="s">
        <v>73</v>
      </c>
      <c r="C36" s="25">
        <f>MAX(-SUMIF('ميزان المراجعة'!$A$5:$A$121,"213014",'ميزان المراجعة'!$J$5:$J$121),0)</f>
        <v>0</v>
      </c>
      <c r="D36" s="25">
        <f>IFERROR(VLOOKUP("213014",'ميزان المراجعة'!$A$5:$E$121,5,0),0)</f>
        <v>0</v>
      </c>
    </row>
    <row r="37" spans="1:4" ht="18" customHeight="1">
      <c r="B37" s="12" t="s">
        <v>74</v>
      </c>
      <c r="C37" s="25">
        <f>MAX(-SUMIF('ميزان المراجعة'!$A$5:$A$121,"213006",'ميزان المراجعة'!$J$5:$J$121),0)+MAX(-SUMIF('ميزان المراجعة'!$A$5:$A$121,"213008",'ميزان المراجعة'!$J$5:$J$121),0)+MAX(-(SUMIF('ميزان المراجعة'!$A$5:$A$121,"113001",'ميزان المراجعة'!$J$5:$J$121)+SUMIF('ميزان المراجعة'!$A$5:$A$121,"113003",'ميزان المراجعة'!$J$5:$J$121)),0)</f>
        <v>0</v>
      </c>
      <c r="D37" s="25">
        <v>0</v>
      </c>
    </row>
    <row r="38" spans="1:4" ht="18" customHeight="1">
      <c r="B38" s="26" t="s">
        <v>75</v>
      </c>
      <c r="C38" s="27">
        <f>SUM(C30:C37)</f>
        <v>0</v>
      </c>
      <c r="D38" s="27">
        <f>SUM(D30:D37)</f>
        <v>0</v>
      </c>
    </row>
    <row r="40" spans="1:4" ht="21.75" customHeight="1">
      <c r="A40" s="120" t="s">
        <v>76</v>
      </c>
      <c r="B40" s="120"/>
      <c r="C40" s="120"/>
      <c r="D40" s="120"/>
    </row>
    <row r="41" spans="1:4" ht="18" customHeight="1">
      <c r="B41" s="12" t="s">
        <v>77</v>
      </c>
      <c r="C41" s="25">
        <f>MAX(-SUMIF('ميزان المراجعة'!$A$5:$A$121,"213013",'ميزان المراجعة'!$J$5:$J$121),0)</f>
        <v>0</v>
      </c>
      <c r="D41" s="25">
        <f>IFERROR(VLOOKUP("213013",'ميزان المراجعة'!$A$5:$E$121,5,0),0)</f>
        <v>0</v>
      </c>
    </row>
    <row r="42" spans="1:4" ht="18" customHeight="1">
      <c r="B42" s="12" t="s">
        <v>78</v>
      </c>
      <c r="C42" s="25">
        <f>MAX(-SUMIF('ميزان المراجعة'!$A$5:$A$121,"230001",'ميزان المراجعة'!$J$5:$J$121),0)</f>
        <v>0</v>
      </c>
      <c r="D42" s="25">
        <f>IFERROR(VLOOKUP("230001",'ميزان المراجعة'!$A$5:$E$121,5,0),0)</f>
        <v>0</v>
      </c>
    </row>
    <row r="43" spans="1:4" ht="18" customHeight="1">
      <c r="B43" s="12" t="s">
        <v>79</v>
      </c>
      <c r="C43" s="25">
        <f>MAX(-SUMIF('ميزان المراجعة'!$A$5:$A$121,"230002",'ميزان المراجعة'!$J$5:$J$121),0)</f>
        <v>0</v>
      </c>
      <c r="D43" s="25">
        <f>IFERROR(VLOOKUP("230002",'ميزان المراجعة'!$A$5:$E$121,5,0),0)</f>
        <v>0</v>
      </c>
    </row>
    <row r="44" spans="1:4" ht="18" customHeight="1">
      <c r="B44" s="26" t="s">
        <v>80</v>
      </c>
      <c r="C44" s="27">
        <f>SUM(C41:C43)</f>
        <v>0</v>
      </c>
      <c r="D44" s="27">
        <f>SUM(D41:D43)</f>
        <v>0</v>
      </c>
    </row>
    <row r="46" spans="1:4" ht="21.75" customHeight="1">
      <c r="A46" s="120" t="s">
        <v>40</v>
      </c>
      <c r="B46" s="120"/>
      <c r="C46" s="120"/>
      <c r="D46" s="120"/>
    </row>
    <row r="47" spans="1:4" ht="18" customHeight="1">
      <c r="B47" s="12" t="s">
        <v>81</v>
      </c>
      <c r="C47" s="25">
        <f>ABS(SUMIF('ميزان المراجعة'!$A$5:$A$121,"221001",'ميزان المراجعة'!$J$5:$J$121))</f>
        <v>0</v>
      </c>
      <c r="D47" s="25">
        <f>IFERROR(VLOOKUP("221001",'ميزان المراجعة'!$A$5:$E$121,5,0),0)</f>
        <v>0</v>
      </c>
    </row>
    <row r="48" spans="1:4" ht="18" customHeight="1">
      <c r="B48" s="12" t="s">
        <v>82</v>
      </c>
      <c r="C48" s="25">
        <f>ABS(SUMIF('ميزان المراجعة'!$A$5:$A$121,"221003",'ميزان المراجعة'!$J$5:$J$121))</f>
        <v>0</v>
      </c>
      <c r="D48" s="25">
        <f>IFERROR(VLOOKUP("221003",'ميزان المراجعة'!$A$5:$E$121,5,0),0)</f>
        <v>0</v>
      </c>
    </row>
    <row r="49" spans="2:4" ht="18" customHeight="1">
      <c r="B49" s="12" t="s">
        <v>83</v>
      </c>
      <c r="C49" s="25">
        <f>ABS(SUMIF('ميزان المراجعة'!$A$5:$A$121,"222001",'ميزان المراجعة'!$J$5:$J$121))</f>
        <v>0</v>
      </c>
      <c r="D49" s="25">
        <f>IFERROR(VLOOKUP("222001",'ميزان المراجعة'!$A$5:$E$121,5,0),0)</f>
        <v>0</v>
      </c>
    </row>
    <row r="50" spans="2:4" ht="18" customHeight="1">
      <c r="B50" s="12" t="s">
        <v>84</v>
      </c>
      <c r="C50" s="25">
        <f>-SUMIF('ميزان المراجعة'!$A$5:$A$121,"221002",'ميزان المراجعة'!$J$5:$J$121)</f>
        <v>0</v>
      </c>
      <c r="D50" s="25">
        <f>IFERROR(VLOOKUP("221002",'ميزان المراجعة'!$A$5:$E$121,5,0),0)-IFERROR(VLOOKUP("221002",'ميزان المراجعة'!$A$5:$D$121,4,0),0)</f>
        <v>0</v>
      </c>
    </row>
    <row r="51" spans="2:4" ht="18" customHeight="1">
      <c r="B51" s="12" t="s">
        <v>85</v>
      </c>
      <c r="C51" s="25">
        <f>'قائمة الدخل'!C54</f>
        <v>0</v>
      </c>
      <c r="D51" s="25">
        <v>0</v>
      </c>
    </row>
    <row r="52" spans="2:4" ht="18" customHeight="1">
      <c r="B52" s="26" t="s">
        <v>86</v>
      </c>
      <c r="C52" s="27">
        <f>C47+C48+C49+C50+C51</f>
        <v>0</v>
      </c>
      <c r="D52" s="27">
        <f>D47+D48+D49+D50+D51</f>
        <v>0</v>
      </c>
    </row>
    <row r="53" spans="2:4" ht="21.75" customHeight="1">
      <c r="B53" s="28" t="s">
        <v>87</v>
      </c>
      <c r="C53" s="27">
        <f>C38+C44+C52</f>
        <v>0</v>
      </c>
      <c r="D53" s="27">
        <f>D38+D44+D52</f>
        <v>0</v>
      </c>
    </row>
    <row r="55" spans="2:4" ht="15" customHeight="1">
      <c r="B55" s="29" t="s">
        <v>88</v>
      </c>
      <c r="C55" s="30">
        <f>ROUND(C25-C53,2)</f>
        <v>0</v>
      </c>
      <c r="D55" t="e">
        <f>ROUND(D25-D53,2)</f>
        <v>#N/A</v>
      </c>
    </row>
  </sheetData>
  <mergeCells count="9">
    <mergeCell ref="A28:D28"/>
    <mergeCell ref="A29:D29"/>
    <mergeCell ref="A40:D40"/>
    <mergeCell ref="A46:D46"/>
    <mergeCell ref="A1:D1"/>
    <mergeCell ref="A2:D2"/>
    <mergeCell ref="A5:D5"/>
    <mergeCell ref="A6:D6"/>
    <mergeCell ref="A16:D1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F3864"/>
  </sheetPr>
  <dimension ref="A1:E53"/>
  <sheetViews>
    <sheetView rightToLeft="1" topLeftCell="A30" zoomScaleNormal="100" workbookViewId="0">
      <selection activeCell="C50" sqref="C50"/>
    </sheetView>
  </sheetViews>
  <sheetFormatPr defaultColWidth="8.7109375" defaultRowHeight="15"/>
  <cols>
    <col min="1" max="1" width="5" customWidth="1"/>
    <col min="2" max="2" width="46" customWidth="1"/>
    <col min="3" max="5" width="22" customWidth="1"/>
  </cols>
  <sheetData>
    <row r="1" spans="1:5" ht="18" customHeight="1">
      <c r="A1" s="117" t="s">
        <v>89</v>
      </c>
      <c r="B1" s="117"/>
      <c r="C1" s="117"/>
      <c r="D1" s="117"/>
      <c r="E1" s="117"/>
    </row>
    <row r="2" spans="1:5" ht="13.5" customHeight="1">
      <c r="A2" s="118" t="s">
        <v>90</v>
      </c>
      <c r="B2" s="118"/>
      <c r="C2" s="118"/>
      <c r="D2" s="118"/>
      <c r="E2" s="118"/>
    </row>
    <row r="3" spans="1:5" ht="11.25" customHeight="1">
      <c r="A3" s="125" t="s">
        <v>91</v>
      </c>
      <c r="B3" s="125"/>
      <c r="C3" s="125"/>
      <c r="D3" s="125"/>
      <c r="E3" s="125"/>
    </row>
    <row r="4" spans="1:5" ht="15" customHeight="1">
      <c r="B4" s="24" t="s">
        <v>43</v>
      </c>
      <c r="C4" s="24" t="s">
        <v>92</v>
      </c>
      <c r="D4" s="24" t="s">
        <v>93</v>
      </c>
      <c r="E4" s="24" t="s">
        <v>94</v>
      </c>
    </row>
    <row r="5" spans="1:5" ht="24.75" customHeight="1">
      <c r="A5" s="126" t="s">
        <v>95</v>
      </c>
      <c r="B5" s="126"/>
      <c r="C5" s="126"/>
      <c r="D5" s="126"/>
      <c r="E5" s="126"/>
    </row>
    <row r="6" spans="1:5" ht="18" customHeight="1">
      <c r="A6" s="127" t="s">
        <v>96</v>
      </c>
      <c r="B6" s="127"/>
      <c r="C6" s="25">
        <f>'قائمة الدخل'!C54</f>
        <v>0</v>
      </c>
      <c r="D6" s="31">
        <v>0</v>
      </c>
    </row>
    <row r="7" spans="1:5" ht="18" customHeight="1">
      <c r="A7" s="128" t="s">
        <v>97</v>
      </c>
      <c r="B7" s="128"/>
    </row>
    <row r="8" spans="1:5" ht="18" customHeight="1">
      <c r="A8" s="129" t="s">
        <v>98</v>
      </c>
      <c r="B8" s="129"/>
      <c r="C8" s="25">
        <f>'قائمة الدخل'!C43</f>
        <v>0</v>
      </c>
      <c r="D8" s="31">
        <v>0</v>
      </c>
    </row>
    <row r="9" spans="1:5" ht="18" customHeight="1">
      <c r="A9" s="130" t="s">
        <v>99</v>
      </c>
      <c r="B9" s="130"/>
      <c r="C9" s="25">
        <f>0</f>
        <v>0</v>
      </c>
      <c r="D9" s="31">
        <v>0</v>
      </c>
    </row>
    <row r="10" spans="1:5" ht="18" customHeight="1">
      <c r="A10" s="129" t="s">
        <v>100</v>
      </c>
      <c r="B10" s="129"/>
      <c r="C10" s="25">
        <f>'قائمة الدخل'!C33</f>
        <v>0</v>
      </c>
      <c r="D10" s="31">
        <v>0</v>
      </c>
    </row>
    <row r="11" spans="1:5" ht="18" customHeight="1">
      <c r="A11" s="130" t="s">
        <v>101</v>
      </c>
      <c r="B11" s="130"/>
      <c r="C11" s="25">
        <f>'قائمة الدخل'!C53</f>
        <v>0</v>
      </c>
      <c r="D11" s="31">
        <v>0</v>
      </c>
    </row>
    <row r="12" spans="1:5" ht="18" customHeight="1">
      <c r="A12" s="129" t="s">
        <v>102</v>
      </c>
      <c r="B12" s="129"/>
      <c r="C12" s="25">
        <f>0</f>
        <v>0</v>
      </c>
      <c r="D12" s="31">
        <v>0</v>
      </c>
    </row>
    <row r="13" spans="1:5" ht="18" customHeight="1">
      <c r="A13" s="128" t="s">
        <v>103</v>
      </c>
      <c r="B13" s="128"/>
    </row>
    <row r="14" spans="1:5" ht="18" customHeight="1">
      <c r="A14" s="129" t="s">
        <v>104</v>
      </c>
      <c r="B14" s="129"/>
      <c r="C14" s="25">
        <f>(SUMIF('ميزان المراجعة'!$A$5:$A$121,"113001",'ميزان المراجعة'!$D$5:$D$121)+SUMIF('ميزان المراجعة'!$A$5:$A$121,"113003",'ميزان المراجعة'!$D$5:$D$121))-(SUMIF('ميزان المراجعة'!$A$5:$A$121,"113001",'ميزان المراجعة'!$J$5:$J$121)+SUMIF('ميزان المراجعة'!$A$5:$A$121,"113003",'ميزان المراجعة'!$J$5:$J$121))</f>
        <v>0</v>
      </c>
      <c r="D14" s="31">
        <v>0</v>
      </c>
    </row>
    <row r="15" spans="1:5" ht="18" customHeight="1">
      <c r="A15" s="130" t="s">
        <v>105</v>
      </c>
      <c r="B15" s="130"/>
      <c r="C15" s="25">
        <f>(SUMIF('ميزان المراجعة'!$A$5:$A$121,"114010",'ميزان المراجعة'!$D$5:$D$121))-(SUMIF('ميزان المراجعة'!$A$5:$A$121,"114010",'ميزان المراجعة'!$J$5:$J$121))</f>
        <v>0</v>
      </c>
      <c r="D15" s="31">
        <v>0</v>
      </c>
    </row>
    <row r="16" spans="1:5" ht="18" customHeight="1">
      <c r="A16" s="129" t="s">
        <v>106</v>
      </c>
      <c r="B16" s="129"/>
      <c r="C16" s="25">
        <f>(SUMIF('ميزان المراجعة'!$A$5:$A$121,"115007",'ميزان المراجعة'!$D$5:$D$121)+SUMIF('ميزان المراجعة'!$A$5:$A$121,"115010",'ميزان المراجعة'!$D$5:$D$121))-(SUMIF('ميزان المراجعة'!$A$5:$A$121,"115007",'ميزان المراجعة'!$J$5:$J$121)+SUMIF('ميزان المراجعة'!$A$5:$A$121,"115010",'ميزان المراجعة'!$J$5:$J$121))</f>
        <v>0</v>
      </c>
      <c r="D16" s="31">
        <v>0</v>
      </c>
    </row>
    <row r="17" spans="1:5" ht="18" customHeight="1">
      <c r="A17" s="130" t="s">
        <v>107</v>
      </c>
      <c r="B17" s="130"/>
      <c r="C17" s="25">
        <f>(SUMIF('ميزان المراجعة'!$A$5:$A$121,"116005",'ميزان المراجعة'!$D$5:$D$121)+SUMIF('ميزان المراجعة'!$A$5:$A$121,"116006",'ميزان المراجعة'!$D$5:$D$121)+SUMIF('ميزان المراجعة'!$A$5:$A$121,"116007",'ميزان المراجعة'!$D$5:$D$121)+SUMIF('ميزان المراجعة'!$A$5:$A$121,"116010",'ميزان المراجعة'!$D$5:$D$121)+SUMIF('ميزان المراجعة'!$A$5:$A$121,"116012",'ميزان المراجعة'!$D$5:$D$121))-(SUMIF('ميزان المراجعة'!$A$5:$A$121,"116005",'ميزان المراجعة'!$J$5:$J$121)+SUMIF('ميزان المراجعة'!$A$5:$A$121,"116006",'ميزان المراجعة'!$J$5:$J$121)+SUMIF('ميزان المراجعة'!$A$5:$A$121,"116007",'ميزان المراجعة'!$J$5:$J$121)+SUMIF('ميزان المراجعة'!$A$5:$A$121,"116010",'ميزان المراجعة'!$J$5:$J$121)+SUMIF('ميزان المراجعة'!$A$5:$A$121,"116012",'ميزان المراجعة'!$J$5:$J$121))</f>
        <v>0</v>
      </c>
      <c r="D17" s="31">
        <v>0</v>
      </c>
    </row>
    <row r="18" spans="1:5" ht="18" customHeight="1">
      <c r="A18" s="129" t="s">
        <v>108</v>
      </c>
      <c r="B18" s="129"/>
      <c r="C18" s="25">
        <f>(SUMIF('ميزان المراجعة'!$A$5:$A$121,"111041",'ميزان المراجعة'!$D$5:$D$121)-SUMIF('ميزان المراجعة'!$A$5:$A$121,"111041",'ميزان المراجعة'!$J$5:$J$121))+((-SUMIF('ميزان المراجعة'!$A$5:$A$121,"213001",'ميزان المراجعة'!$J$5:$J$121))-SUMIF('ميزان المراجعة'!$A$5:$A$121,"213001",'ميزان المراجعة'!$E$5:$E$121))+((-SUMIF('ميزان المراجعة'!$A$5:$A$121,"201017",'ميزان المراجعة'!$J$5:$J$121))-SUMIF('ميزان المراجعة'!$A$5:$A$121,"201017",'ميزان المراجعة'!$E$5:$E$121))</f>
        <v>0</v>
      </c>
      <c r="D18" s="31">
        <v>0</v>
      </c>
    </row>
    <row r="19" spans="1:5" ht="18" customHeight="1">
      <c r="A19" s="130" t="s">
        <v>109</v>
      </c>
      <c r="B19" s="130"/>
      <c r="C19" s="25">
        <f>((-SUMIF('ميزان المراجعة'!$A$5:$A$121,"211001",'ميزان المراجعة'!$J$5:$J$121)))-(SUMIF('ميزان المراجعة'!$A$5:$A$121,"211001",'ميزان المراجعة'!$E$5:$E$121))</f>
        <v>0</v>
      </c>
      <c r="D19" s="31">
        <v>0</v>
      </c>
    </row>
    <row r="20" spans="1:5" ht="18" customHeight="1">
      <c r="A20" s="129" t="s">
        <v>110</v>
      </c>
      <c r="B20" s="129"/>
      <c r="C20" s="25">
        <f>((-SUMIF('ميزان المراجعة'!$A$5:$A$121,"213003",'ميزان المراجعة'!$J$5:$J$121))+(-SUMIF('ميزان المراجعة'!$A$5:$A$121,"212001",'ميزان المراجعة'!$J$5:$J$121)))-(SUMIF('ميزان المراجعة'!$A$5:$A$121,"213003",'ميزان المراجعة'!$E$5:$E$121)+SUMIF('ميزان المراجعة'!$A$5:$A$121,"212001",'ميزان المراجعة'!$E$5:$E$121))</f>
        <v>0</v>
      </c>
      <c r="D20" s="31">
        <v>0</v>
      </c>
    </row>
    <row r="21" spans="1:5" ht="18" customHeight="1">
      <c r="A21" s="130" t="s">
        <v>111</v>
      </c>
      <c r="B21" s="130"/>
      <c r="C21" s="25">
        <f>((-SUMIF('ميزان المراجعة'!$A$5:$A$121,"213010",'ميزان المراجعة'!$J$5:$J$121))-SUMIF('ميزان المراجعة'!$A$5:$A$121,"213010",'ميزان المراجعة'!$E$5:$E$121))+((-SUMIF('ميزان المراجعة'!$A$5:$A$121,"213006",'ميزان المراجعة'!$J$5:$J$121))-SUMIF('ميزان المراجعة'!$A$5:$A$121,"213006",'ميزان المراجعة'!$E$5:$E$121))+((-SUMIF('ميزان المراجعة'!$A$5:$A$121,"213008",'ميزان المراجعة'!$J$5:$J$121))-SUMIF('ميزان المراجعة'!$A$5:$A$121,"213008",'ميزان المراجعة'!$E$5:$E$121))+(SUMIF('ميزان المراجعة'!$A$5:$A$121,"213009",'ميزان المراجعة'!$D$5:$D$121)-SUMIF('ميزان المراجعة'!$A$5:$A$121,"213009",'ميزان المراجعة'!$J$5:$J$121))</f>
        <v>0</v>
      </c>
      <c r="D21" s="31">
        <v>0</v>
      </c>
    </row>
    <row r="22" spans="1:5" ht="18" customHeight="1">
      <c r="A22" s="129" t="s">
        <v>112</v>
      </c>
      <c r="B22" s="129"/>
      <c r="C22" s="25">
        <f>((-SUMIF('ميزان المراجعة'!$A$5:$A$121,"213014",'ميزان المراجعة'!$J$5:$J$121))-SUMIF('ميزان المراجعة'!$A$5:$A$121,"213014",'ميزان المراجعة'!$E$5:$E$121))+((-SUMIF('ميزان المراجعة'!$A$5:$A$121,"201019",'ميزان المراجعة'!$J$5:$J$121))-SUMIF('ميزان المراجعة'!$A$5:$A$121,"201019",'ميزان المراجعة'!$E$5:$E$121))+(SUMIF('ميزان المراجعة'!$A$5:$A$121,"201031",'ميزان المراجعة'!$D$5:$D$121)-SUMIF('ميزان المراجعة'!$A$5:$A$121,"201031",'ميزان المراجعة'!$J$5:$J$121))</f>
        <v>0</v>
      </c>
      <c r="D22" s="31">
        <v>0</v>
      </c>
    </row>
    <row r="23" spans="1:5" ht="21.75" customHeight="1">
      <c r="A23" s="131" t="s">
        <v>113</v>
      </c>
      <c r="B23" s="131"/>
      <c r="C23" s="27">
        <f>SUM(C6,C8:C12,C14:C22)</f>
        <v>0</v>
      </c>
      <c r="D23" s="32">
        <f>SUM(D6:D22)</f>
        <v>0</v>
      </c>
    </row>
    <row r="25" spans="1:5" ht="24.75" customHeight="1">
      <c r="A25" s="132" t="s">
        <v>114</v>
      </c>
      <c r="B25" s="132"/>
      <c r="C25" s="132"/>
      <c r="D25" s="132"/>
      <c r="E25" s="132"/>
    </row>
    <row r="26" spans="1:5" ht="18" customHeight="1">
      <c r="A26" s="130" t="s">
        <v>115</v>
      </c>
      <c r="B26" s="130"/>
      <c r="C26" s="25">
        <f>-((SUMIF('ميزان المراجعة'!$A$5:$A$121,"121001",'ميزان المراجعة'!$H$5:$H$121)-SUMIF('ميزان المراجعة'!$A$5:$A$121,"121001",'ميزان المراجعة'!$D$5:$D$121))+(SUMIF('ميزان المراجعة'!$A$5:$A$121,"121003",'ميزان المراجعة'!$H$5:$H$121)-SUMIF('ميزان المراجعة'!$A$5:$A$121,"121003",'ميزان المراجعة'!$D$5:$D$121))+(SUMIF('ميزان المراجعة'!$A$5:$A$121,"121004",'ميزان المراجعة'!$H$5:$H$121)-SUMIF('ميزان المراجعة'!$A$5:$A$121,"121004",'ميزان المراجعة'!$D$5:$D$121))+(SUMIF('ميزان المراجعة'!$A$5:$A$121,"121005",'ميزان المراجعة'!$H$5:$H$121)-SUMIF('ميزان المراجعة'!$A$5:$A$121,"121005",'ميزان المراجعة'!$D$5:$D$121))+(SUMIF('ميزان المراجعة'!$A$5:$A$121,"121007",'ميزان المراجعة'!$H$5:$H$121)-SUMIF('ميزان المراجعة'!$A$5:$A$121,"121007",'ميزان المراجعة'!$D$5:$D$121)))</f>
        <v>0</v>
      </c>
      <c r="D26" s="31">
        <v>0</v>
      </c>
    </row>
    <row r="27" spans="1:5" ht="18" customHeight="1">
      <c r="A27" s="129" t="s">
        <v>116</v>
      </c>
      <c r="B27" s="129"/>
      <c r="C27" s="25">
        <f>-((SUMIF('ميزان المراجعة'!$A$5:$A$121,"121002",'ميزان المراجعة'!$H$5:$H$121)-SUMIF('ميزان المراجعة'!$A$5:$A$121,"121002",'ميزان المراجعة'!$D$5:$D$121))+(SUMIF('ميزان المراجعة'!$A$5:$A$121,"121006",'ميزان المراجعة'!$H$5:$H$121)-SUMIF('ميزان المراجعة'!$A$5:$A$121,"121006",'ميزان المراجعة'!$D$5:$D$121)))-(SUMIF('ميزان المراجعة'!$A$5:$A$121,"101000",'ميزان المراجعة'!$J$5:$J$121)-SUMIF('ميزان المراجعة'!$A$5:$A$121,"101000",'ميزان المراجعة'!$D$5:$D$121))</f>
        <v>0</v>
      </c>
      <c r="D27" s="31">
        <v>0</v>
      </c>
    </row>
    <row r="28" spans="1:5" ht="18" customHeight="1">
      <c r="A28" s="130" t="s">
        <v>117</v>
      </c>
      <c r="B28" s="130"/>
      <c r="C28" s="25">
        <v>0</v>
      </c>
      <c r="D28" s="31">
        <v>0</v>
      </c>
    </row>
    <row r="29" spans="1:5" ht="21.75" customHeight="1">
      <c r="A29" s="131" t="s">
        <v>118</v>
      </c>
      <c r="B29" s="131"/>
      <c r="C29" s="27">
        <f>SUM(C26:C28)</f>
        <v>0</v>
      </c>
      <c r="D29" s="32">
        <f>SUM(D26:D28)</f>
        <v>0</v>
      </c>
    </row>
    <row r="31" spans="1:5" ht="24.75" customHeight="1">
      <c r="A31" s="133" t="s">
        <v>119</v>
      </c>
      <c r="B31" s="133"/>
      <c r="C31" s="133"/>
      <c r="D31" s="133"/>
      <c r="E31" s="133"/>
    </row>
    <row r="32" spans="1:5" ht="18" customHeight="1">
      <c r="A32" s="130" t="s">
        <v>120</v>
      </c>
      <c r="B32" s="130"/>
      <c r="C32" s="25">
        <f>((-SUMIF('ميزان المراجعة'!$A$5:$A$121,"230002",'ميزان المراجعة'!$J$5:$J$121)))-(SUMIF('ميزان المراجعة'!$A$5:$A$121,"230002",'ميزان المراجعة'!$E$5:$E$121))</f>
        <v>0</v>
      </c>
      <c r="D32" s="31">
        <v>0</v>
      </c>
    </row>
    <row r="33" spans="1:5" ht="18" customHeight="1">
      <c r="A33" s="129" t="s">
        <v>121</v>
      </c>
      <c r="B33" s="129"/>
      <c r="C33" s="25">
        <f>((-SUMIF('ميزان المراجعة'!$A$5:$A$121,"212003",'ميزان المراجعة'!$J$5:$J$121)))-(SUMIF('ميزان المراجعة'!$A$5:$A$121,"212003",'ميزان المراجعة'!$E$5:$E$121))</f>
        <v>0</v>
      </c>
      <c r="D33" s="31">
        <v>0</v>
      </c>
    </row>
    <row r="34" spans="1:5" ht="18" customHeight="1">
      <c r="A34" s="130" t="s">
        <v>122</v>
      </c>
      <c r="B34" s="130"/>
      <c r="C34" s="25">
        <f>((-SUMIF('ميزان المراجعة'!$A$5:$A$121,"230001",'ميزان المراجعة'!$J$5:$J$121)))-(SUMIF('ميزان المراجعة'!$A$5:$A$121,"230001",'ميزان المراجعة'!$E$5:$E$121))</f>
        <v>0</v>
      </c>
      <c r="D34" s="31">
        <v>0</v>
      </c>
    </row>
    <row r="35" spans="1:5" ht="18" customHeight="1">
      <c r="A35" s="129" t="s">
        <v>123</v>
      </c>
      <c r="B35" s="129"/>
      <c r="C35" s="25">
        <f>((-SUMIF('ميزان المراجعة'!$A$5:$A$121,"221002",'ميزان المراجعة'!$J$5:$J$121))-(SUMIF('ميزان المراجعة'!$A$5:$A$121,"221002",'ميزان المراجعة'!$E$5:$E$121)-SUMIF('ميزان المراجعة'!$A$5:$A$121,"221002",'ميزان المراجعة'!$D$5:$D$121)))+((-SUMIF('ميزان المراجعة'!$A$5:$A$121,"221001",'ميزان المراجعة'!$J$5:$J$121))-SUMIF('ميزان المراجعة'!$A$5:$A$121,"221001",'ميزان المراجعة'!$E$5:$E$121))+((-SUMIF('ميزان المراجعة'!$A$5:$A$121,"221003",'ميزان المراجعة'!$J$5:$J$121))-SUMIF('ميزان المراجعة'!$A$5:$A$121,"221003",'ميزان المراجعة'!$E$5:$E$121))+((-SUMIF('ميزان المراجعة'!$A$5:$A$121,"222001",'ميزان المراجعة'!$J$5:$J$121))-SUMIF('ميزان المراجعة'!$A$5:$A$121,"222001",'ميزان المراجعة'!$E$5:$E$121))</f>
        <v>0</v>
      </c>
      <c r="D35" s="31">
        <v>0</v>
      </c>
    </row>
    <row r="36" spans="1:5" ht="18" customHeight="1">
      <c r="A36" s="130" t="s">
        <v>124</v>
      </c>
      <c r="B36" s="130"/>
      <c r="C36" s="25">
        <v>0</v>
      </c>
      <c r="D36" s="31">
        <v>0</v>
      </c>
    </row>
    <row r="37" spans="1:5" ht="21.75" customHeight="1">
      <c r="A37" s="134" t="s">
        <v>125</v>
      </c>
      <c r="B37" s="134"/>
      <c r="C37" s="27">
        <f>SUM(C32:C36)</f>
        <v>0</v>
      </c>
      <c r="D37" s="33">
        <f>SUM(D32:D36)</f>
        <v>0</v>
      </c>
    </row>
    <row r="39" spans="1:5" ht="24.75" customHeight="1">
      <c r="A39" s="126" t="s">
        <v>126</v>
      </c>
      <c r="B39" s="126"/>
      <c r="C39" s="126"/>
      <c r="D39" s="126"/>
      <c r="E39" s="126"/>
    </row>
    <row r="40" spans="1:5" ht="21.75" customHeight="1">
      <c r="A40" s="135" t="s">
        <v>127</v>
      </c>
      <c r="B40" s="135"/>
      <c r="C40" s="27">
        <f>C23+C29+C37</f>
        <v>0</v>
      </c>
      <c r="D40" s="34">
        <f>D23+D29+D37</f>
        <v>0</v>
      </c>
    </row>
    <row r="41" spans="1:5" ht="19.5" customHeight="1">
      <c r="A41" s="136" t="s">
        <v>128</v>
      </c>
      <c r="B41" s="136"/>
      <c r="C41" s="25">
        <f>SUMIF('ميزان المراجعة'!$A$5:$A$121,"111101",'ميزان المراجعة'!$D$5:$D$121)+SUMIF('ميزان المراجعة'!$A$5:$A$121,"111102",'ميزان المراجعة'!$D$5:$D$121)+SUMIF('ميزان المراجعة'!$A$5:$A$121,"111103",'ميزان المراجعة'!$D$5:$D$121)+SUMIF('ميزان المراجعة'!$A$5:$A$121,"111104",'ميزان المراجعة'!$D$5:$D$121)+SUMIF('ميزان المراجعة'!$A$5:$A$121,"111201",'ميزان المراجعة'!$D$5:$D$121)+SUMIF('ميزان المراجعة'!$A$5:$A$121,"111202",'ميزان المراجعة'!$D$5:$D$121)+SUMIF('ميزان المراجعة'!$A$5:$A$121,"111203",'ميزان المراجعة'!$D$5:$D$121)</f>
        <v>0</v>
      </c>
      <c r="D41" s="31">
        <v>0</v>
      </c>
    </row>
    <row r="42" spans="1:5" ht="24.75" customHeight="1">
      <c r="A42" s="137" t="s">
        <v>129</v>
      </c>
      <c r="B42" s="137"/>
      <c r="C42" s="27">
        <f>C41+C40</f>
        <v>0</v>
      </c>
      <c r="D42" s="32">
        <f>D41+D40</f>
        <v>0</v>
      </c>
    </row>
    <row r="44" spans="1:5" ht="21.75" customHeight="1">
      <c r="A44" s="120" t="s">
        <v>130</v>
      </c>
      <c r="B44" s="120"/>
      <c r="C44" s="120"/>
      <c r="D44" s="120"/>
      <c r="E44" s="120"/>
    </row>
    <row r="45" spans="1:5" ht="18" customHeight="1">
      <c r="A45" s="138" t="s">
        <v>131</v>
      </c>
      <c r="B45" s="138"/>
      <c r="C45" s="25">
        <f>SUMIF('ميزان المراجعة'!$A$5:$A$121,"111101",'ميزان المراجعة'!$J$5:$J$121)</f>
        <v>0</v>
      </c>
    </row>
    <row r="46" spans="1:5" ht="18" customHeight="1">
      <c r="A46" s="140" t="s">
        <v>132</v>
      </c>
      <c r="B46" s="140"/>
      <c r="C46" s="25">
        <f>SUMIF('ميزان المراجعة'!$A$5:$A$121,"111102",'ميزان المراجعة'!$J$5:$J$121)</f>
        <v>0</v>
      </c>
    </row>
    <row r="47" spans="1:5" ht="18" customHeight="1">
      <c r="A47" s="138" t="s">
        <v>133</v>
      </c>
      <c r="B47" s="138"/>
      <c r="C47" s="25">
        <f>SUMIF('ميزان المراجعة'!$A$5:$A$121,"111103",'ميزان المراجعة'!$J$5:$J$121)</f>
        <v>0</v>
      </c>
    </row>
    <row r="48" spans="1:5" ht="18" customHeight="1">
      <c r="A48" s="140" t="s">
        <v>134</v>
      </c>
      <c r="B48" s="140"/>
      <c r="C48" s="25">
        <f>SUMIF('ميزان المراجعة'!$A$5:$A$121,"111104",'ميزان المراجعة'!$J$5:$J$121)</f>
        <v>0</v>
      </c>
    </row>
    <row r="49" spans="1:5" ht="18" customHeight="1">
      <c r="A49" s="138" t="s">
        <v>135</v>
      </c>
      <c r="B49" s="138"/>
      <c r="C49" s="25">
        <f>SUMIF('ميزان المراجعة'!$A$5:$A$121,"111201",'ميزان المراجعة'!$J$5:$J$121)</f>
        <v>0</v>
      </c>
    </row>
    <row r="50" spans="1:5" ht="18" customHeight="1">
      <c r="A50" s="140" t="s">
        <v>136</v>
      </c>
      <c r="B50" s="140"/>
      <c r="C50" s="25">
        <f>SUMIF('ميزان المراجعة'!$A$5:$A$121,"111202",'ميزان المراجعة'!$J$5:$J$121)</f>
        <v>0</v>
      </c>
    </row>
    <row r="51" spans="1:5" ht="18" customHeight="1">
      <c r="A51" s="138" t="s">
        <v>137</v>
      </c>
      <c r="B51" s="138"/>
      <c r="C51" s="25">
        <f>SUMIF('ميزان المراجعة'!$A$5:$A$121,"111203",'ميزان المراجعة'!$J$5:$J$121)</f>
        <v>0</v>
      </c>
    </row>
    <row r="52" spans="1:5" ht="19.5" customHeight="1">
      <c r="A52" s="139" t="s">
        <v>138</v>
      </c>
      <c r="B52" s="139"/>
      <c r="C52" s="27">
        <f>SUM(C45:C51)</f>
        <v>0</v>
      </c>
    </row>
    <row r="53" spans="1:5" ht="15" customHeight="1">
      <c r="A53" s="35" t="s">
        <v>139</v>
      </c>
      <c r="C53">
        <f>ROUND(C42-C52,2)</f>
        <v>0</v>
      </c>
      <c r="E53" s="36" t="s">
        <v>140</v>
      </c>
    </row>
  </sheetData>
  <mergeCells count="47">
    <mergeCell ref="A51:B51"/>
    <mergeCell ref="A52:B52"/>
    <mergeCell ref="A46:B46"/>
    <mergeCell ref="A47:B47"/>
    <mergeCell ref="A48:B48"/>
    <mergeCell ref="A49:B49"/>
    <mergeCell ref="A50:B50"/>
    <mergeCell ref="A40:B40"/>
    <mergeCell ref="A41:B41"/>
    <mergeCell ref="A42:B42"/>
    <mergeCell ref="A44:E44"/>
    <mergeCell ref="A45:B45"/>
    <mergeCell ref="A34:B34"/>
    <mergeCell ref="A35:B35"/>
    <mergeCell ref="A36:B36"/>
    <mergeCell ref="A37:B37"/>
    <mergeCell ref="A39:E39"/>
    <mergeCell ref="A28:B28"/>
    <mergeCell ref="A29:B29"/>
    <mergeCell ref="A31:E31"/>
    <mergeCell ref="A32:B32"/>
    <mergeCell ref="A33:B33"/>
    <mergeCell ref="A22:B22"/>
    <mergeCell ref="A23:B23"/>
    <mergeCell ref="A25:E25"/>
    <mergeCell ref="A26:B26"/>
    <mergeCell ref="A27:B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E1"/>
    <mergeCell ref="A2:E2"/>
    <mergeCell ref="A3:E3"/>
    <mergeCell ref="A5:E5"/>
    <mergeCell ref="A6:B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E5631"/>
  </sheetPr>
  <dimension ref="A1:D54"/>
  <sheetViews>
    <sheetView rightToLeft="1" zoomScaleNormal="100" workbookViewId="0">
      <selection activeCell="C13" sqref="C13"/>
    </sheetView>
  </sheetViews>
  <sheetFormatPr defaultColWidth="8.7109375" defaultRowHeight="15"/>
  <cols>
    <col min="1" max="1" width="13.7109375" customWidth="1"/>
    <col min="2" max="2" width="44" customWidth="1"/>
    <col min="3" max="4" width="24" customWidth="1"/>
  </cols>
  <sheetData>
    <row r="1" spans="1:4" ht="18" customHeight="1">
      <c r="A1" s="117" t="s">
        <v>141</v>
      </c>
      <c r="B1" s="117"/>
      <c r="C1" s="117"/>
      <c r="D1" s="117"/>
    </row>
    <row r="2" spans="1:4" ht="13.5" customHeight="1">
      <c r="A2" s="118" t="s">
        <v>142</v>
      </c>
      <c r="B2" s="118"/>
      <c r="C2" s="118"/>
      <c r="D2" s="118"/>
    </row>
    <row r="4" spans="1:4" ht="15" customHeight="1">
      <c r="B4" s="24" t="s">
        <v>43</v>
      </c>
      <c r="C4" s="24" t="s">
        <v>143</v>
      </c>
      <c r="D4" s="24" t="s">
        <v>144</v>
      </c>
    </row>
    <row r="5" spans="1:4" ht="21.75" customHeight="1">
      <c r="A5" s="119" t="s">
        <v>145</v>
      </c>
      <c r="B5" s="119"/>
      <c r="C5" s="119"/>
      <c r="D5" s="119"/>
    </row>
    <row r="6" spans="1:4" ht="18" customHeight="1">
      <c r="B6" s="8" t="s">
        <v>146</v>
      </c>
      <c r="C6" s="25">
        <f>ABS(SUMIF('ميزان المراجعة'!$A$5:$A$121,"410001",'ميزان المراجعة'!$J$5:$J$121))</f>
        <v>0</v>
      </c>
      <c r="D6" s="37">
        <f>IFERROR(C6/$C$10,0)</f>
        <v>0</v>
      </c>
    </row>
    <row r="7" spans="1:4" ht="18" customHeight="1">
      <c r="B7" s="12" t="s">
        <v>147</v>
      </c>
      <c r="C7" s="25">
        <f>ABS(SUMIF('ميزان المراجعة'!$A$5:$A$121,"410003",'ميزان المراجعة'!$J$5:$J$121))</f>
        <v>0</v>
      </c>
      <c r="D7" s="37">
        <f>IFERROR(C7/$C$10,0)</f>
        <v>0</v>
      </c>
    </row>
    <row r="8" spans="1:4" ht="18" customHeight="1">
      <c r="B8" s="8" t="s">
        <v>148</v>
      </c>
      <c r="C8" s="25">
        <f>ABS(SUMIF('ميزان المراجعة'!$A$5:$A$121,"410005",'ميزان المراجعة'!$J$5:$J$121))</f>
        <v>0</v>
      </c>
      <c r="D8" s="37">
        <f>IFERROR(C8/$C$10,0)</f>
        <v>0</v>
      </c>
    </row>
    <row r="9" spans="1:4" ht="18" customHeight="1">
      <c r="B9" s="38" t="s">
        <v>149</v>
      </c>
      <c r="C9" s="27">
        <f>ABS(SUMIF('ميزان المراجعة'!$C$5:$C$121,"إيرادات",'ميزان المراجعة'!$J$5:$J$121))-C6-C7-C8</f>
        <v>0</v>
      </c>
      <c r="D9" s="37">
        <f>IFERROR(C9/$C$10,0)</f>
        <v>0</v>
      </c>
    </row>
    <row r="10" spans="1:4" ht="15" customHeight="1">
      <c r="B10" s="35" t="s">
        <v>34</v>
      </c>
      <c r="C10">
        <f>ABS(SUMIF('ميزان المراجعة'!$C$5:$C$121,"إيرادات",'ميزان المراجعة'!$J$5:$J$121))</f>
        <v>0</v>
      </c>
      <c r="D10">
        <f>IFERROR(C10/$C$10,0)</f>
        <v>0</v>
      </c>
    </row>
    <row r="11" spans="1:4" ht="21.75" customHeight="1">
      <c r="A11" s="120" t="s">
        <v>150</v>
      </c>
      <c r="B11" s="120"/>
      <c r="C11" s="120"/>
      <c r="D11" s="120"/>
    </row>
    <row r="12" spans="1:4" ht="18" customHeight="1">
      <c r="A12" s="35" t="s">
        <v>150</v>
      </c>
      <c r="B12" s="8" t="s">
        <v>151</v>
      </c>
      <c r="C12" s="25">
        <f>SUMIF('ميزان المراجعة'!$A$5:$A$120,"311001",'ميزان المراجعة'!$J$5:$J$120)+SUMIF('ميزان المراجعة'!$A$5:$A$120,"311002",'ميزان المراجعة'!$J$5:$J$120)+SUMIF('ميزان المراجعة'!$A$5:$A$120,"340001",'ميزان المراجعة'!$J$5:$J$120)+SUMIF('ميزان المراجعة'!$A$5:$A$120,"321005",'ميزان المراجعة'!$J$5:$J$120)+SUMIF('ميزان المراجعة'!$A$5:$A$120,"321014",'ميزان المراجعة'!$J$5:$J$120)+SUMIF('ميزان المراجعة'!$A$5:$A$120,"400056",'ميزان المراجعة'!$J$5:$J$120)+SUMIF('ميزان المراجعة'!$A$5:$A$120,"999001",'ميزان المراجعة'!$J$5:$J$120)+SUMIF('ميزان المراجعة'!$A$5:$A$120,"350032",'ميزان المراجعة'!$J$5:$J$120)</f>
        <v>0</v>
      </c>
      <c r="D12" s="37">
        <f>IFERROR(C12/$C$9,0)</f>
        <v>0</v>
      </c>
    </row>
    <row r="13" spans="1:4" ht="18" customHeight="1">
      <c r="B13" s="12" t="s">
        <v>152</v>
      </c>
      <c r="C13" s="25">
        <f>SUMIF('ميزان المراجعة'!$C$5:$C$121,"مصروفات – تكلفة",'ميزان المراجعة'!$J$5:$J$121)</f>
        <v>0</v>
      </c>
      <c r="D13" s="37">
        <f>IFERROR(C13/$C$10,0)</f>
        <v>0</v>
      </c>
    </row>
    <row r="14" spans="1:4" ht="18" customHeight="1">
      <c r="B14" s="38"/>
      <c r="C14" s="27"/>
      <c r="D14" s="37"/>
    </row>
    <row r="15" spans="1:4" ht="18" customHeight="1">
      <c r="B15" s="26" t="s">
        <v>35</v>
      </c>
      <c r="C15" s="27">
        <f>C10-C13</f>
        <v>0</v>
      </c>
      <c r="D15" s="39">
        <f>IFERROR(C15/$C$10,0)</f>
        <v>0</v>
      </c>
    </row>
    <row r="17" spans="1:4" ht="21.75" customHeight="1">
      <c r="A17" s="120" t="s">
        <v>153</v>
      </c>
      <c r="B17" s="120"/>
      <c r="C17" s="120"/>
      <c r="D17" s="120"/>
    </row>
    <row r="18" spans="1:4" ht="18" customHeight="1">
      <c r="B18" s="8" t="s">
        <v>154</v>
      </c>
      <c r="C18" s="25">
        <f>SUMIF('ميزان المراجعة'!$A$5:$A$121,"321001",'ميزان المراجعة'!$J$5:$J$121)</f>
        <v>0</v>
      </c>
      <c r="D18" s="37">
        <f t="shared" ref="D18:D35" si="0">IFERROR(C18/$C$10,0)</f>
        <v>0</v>
      </c>
    </row>
    <row r="19" spans="1:4" ht="18" customHeight="1">
      <c r="B19" s="12" t="s">
        <v>155</v>
      </c>
      <c r="C19" s="25">
        <f>SUMIF('ميزان المراجعة'!$A$5:$A$121,"321004",'ميزان المراجعة'!$J$5:$J$121)</f>
        <v>0</v>
      </c>
      <c r="D19" s="37">
        <f t="shared" si="0"/>
        <v>0</v>
      </c>
    </row>
    <row r="20" spans="1:4" ht="18" customHeight="1">
      <c r="B20" s="8" t="s">
        <v>156</v>
      </c>
      <c r="C20" s="25">
        <f>SUMIF('ميزان المراجعة'!$A$5:$A$121,"321006",'ميزان المراجعة'!$J$5:$J$121)</f>
        <v>0</v>
      </c>
      <c r="D20" s="37">
        <f t="shared" si="0"/>
        <v>0</v>
      </c>
    </row>
    <row r="21" spans="1:4" ht="18" customHeight="1">
      <c r="B21" s="12" t="s">
        <v>157</v>
      </c>
      <c r="C21" s="25">
        <f>SUMIF('ميزان المراجعة'!$A$5:$A$121,"321007",'ميزان المراجعة'!$J$5:$J$121)</f>
        <v>0</v>
      </c>
      <c r="D21" s="37">
        <f t="shared" si="0"/>
        <v>0</v>
      </c>
    </row>
    <row r="22" spans="1:4" ht="18" customHeight="1">
      <c r="B22" s="8" t="s">
        <v>158</v>
      </c>
      <c r="C22" s="25">
        <f>SUMIF('ميزان المراجعة'!$A$5:$A$121,"321008",'ميزان المراجعة'!$J$5:$J$121)</f>
        <v>0</v>
      </c>
      <c r="D22" s="37">
        <f t="shared" si="0"/>
        <v>0</v>
      </c>
    </row>
    <row r="23" spans="1:4" ht="18" customHeight="1">
      <c r="B23" s="12" t="s">
        <v>159</v>
      </c>
      <c r="C23" s="25">
        <f>SUMIF('ميزان المراجعة'!$A$5:$A$121,"321009",'ميزان المراجعة'!$J$5:$J$121)</f>
        <v>0</v>
      </c>
      <c r="D23" s="37">
        <f t="shared" si="0"/>
        <v>0</v>
      </c>
    </row>
    <row r="24" spans="1:4" ht="18" customHeight="1">
      <c r="B24" s="8" t="s">
        <v>160</v>
      </c>
      <c r="C24" s="25">
        <f>SUMIF('ميزان المراجعة'!$A$5:$A$121,"321031",'ميزان المراجعة'!$J$5:$J$121)</f>
        <v>0</v>
      </c>
      <c r="D24" s="37">
        <f t="shared" si="0"/>
        <v>0</v>
      </c>
    </row>
    <row r="25" spans="1:4" ht="18" customHeight="1">
      <c r="B25" s="12" t="s">
        <v>161</v>
      </c>
      <c r="C25" s="25">
        <f>SUMIF('ميزان المراجعة'!$A$5:$A$121,"321021",'ميزان المراجعة'!$J$5:$J$121)</f>
        <v>0</v>
      </c>
      <c r="D25" s="37">
        <f t="shared" si="0"/>
        <v>0</v>
      </c>
    </row>
    <row r="26" spans="1:4" ht="18" customHeight="1">
      <c r="B26" s="8" t="s">
        <v>162</v>
      </c>
      <c r="C26" s="25">
        <f>SUMIF('ميزان المراجعة'!$A$5:$A$121,"321034",'ميزان المراجعة'!$J$5:$J$121)</f>
        <v>0</v>
      </c>
      <c r="D26" s="37">
        <f t="shared" si="0"/>
        <v>0</v>
      </c>
    </row>
    <row r="27" spans="1:4" ht="18" customHeight="1">
      <c r="B27" s="12" t="s">
        <v>163</v>
      </c>
      <c r="C27" s="25">
        <f>SUMIF('ميزان المراجعة'!$A$5:$A$121,"321033",'ميزان المراجعة'!$J$5:$J$121)</f>
        <v>0</v>
      </c>
      <c r="D27" s="37">
        <f t="shared" si="0"/>
        <v>0</v>
      </c>
    </row>
    <row r="28" spans="1:4" ht="18" customHeight="1">
      <c r="B28" s="8" t="s">
        <v>164</v>
      </c>
      <c r="C28" s="25">
        <f>SUMIF('ميزان المراجعة'!$A$5:$A$121,"321032",'ميزان المراجعة'!$J$5:$J$121)</f>
        <v>0</v>
      </c>
      <c r="D28" s="37">
        <f t="shared" si="0"/>
        <v>0</v>
      </c>
    </row>
    <row r="29" spans="1:4" ht="18" customHeight="1">
      <c r="B29" s="12" t="s">
        <v>165</v>
      </c>
      <c r="C29" s="25">
        <f>SUMIF('ميزان المراجعة'!$A$5:$A$121,"321030",'ميزان المراجعة'!$J$5:$J$121)</f>
        <v>0</v>
      </c>
      <c r="D29" s="37">
        <f t="shared" si="0"/>
        <v>0</v>
      </c>
    </row>
    <row r="30" spans="1:4" ht="18" customHeight="1">
      <c r="B30" s="8" t="s">
        <v>166</v>
      </c>
      <c r="C30" s="25">
        <f>SUMIF('ميزان المراجعة'!$A$5:$A$121,"40016",'ميزان المراجعة'!$J$5:$J$121)</f>
        <v>0</v>
      </c>
      <c r="D30" s="37">
        <f t="shared" si="0"/>
        <v>0</v>
      </c>
    </row>
    <row r="31" spans="1:4" ht="18" customHeight="1">
      <c r="B31" s="12" t="s">
        <v>167</v>
      </c>
      <c r="C31" s="25">
        <f>SUMIF('ميزان المراجعة'!$A$5:$A$121,"340009",'ميزان المراجعة'!$J$5:$J$121)</f>
        <v>0</v>
      </c>
      <c r="D31" s="37">
        <f t="shared" si="0"/>
        <v>0</v>
      </c>
    </row>
    <row r="32" spans="1:4" ht="18" customHeight="1">
      <c r="B32" s="8" t="s">
        <v>168</v>
      </c>
      <c r="C32" s="25">
        <f>SUMIF('ميزان المراجعة'!$A$5:$A$121,"321018",'ميزان المراجعة'!$J$5:$J$121)</f>
        <v>0</v>
      </c>
      <c r="D32" s="37">
        <f t="shared" si="0"/>
        <v>0</v>
      </c>
    </row>
    <row r="33" spans="1:4" ht="18" customHeight="1">
      <c r="B33" s="40" t="s">
        <v>169</v>
      </c>
      <c r="C33" s="41">
        <f>SUMIF('ميزان المراجعة'!$A$5:$A$121,"340031",'ميزان المراجعة'!$J$5:$J$121)</f>
        <v>0</v>
      </c>
      <c r="D33" s="42">
        <f t="shared" si="0"/>
        <v>0</v>
      </c>
    </row>
    <row r="34" spans="1:4" ht="21.75" customHeight="1">
      <c r="A34" s="43"/>
      <c r="B34" s="40" t="s">
        <v>170</v>
      </c>
      <c r="C34" s="41">
        <f>SUMIF('ميزان المراجعة'!$C$5:$C$121,"مصروفات – إدارية",'ميزان المراجعة'!$J$5:$J$121)-SUMIF('ميزان المراجعة'!$A$5:$A$121,"340008",'ميزان المراجعة'!$J$5:$J$121)-SUMIF('ميزان المراجعة'!$A$5:$A$121,"300072",'ميزان المراجعة'!$J$5:$J$121)-(C18+C19+C20+C21+C22+C23+C24+C25+C26+C27+C28+C29+C30+C31+C32+C33)</f>
        <v>0</v>
      </c>
      <c r="D34" s="42">
        <f t="shared" si="0"/>
        <v>0</v>
      </c>
    </row>
    <row r="35" spans="1:4" ht="18" customHeight="1">
      <c r="B35" s="38" t="s">
        <v>171</v>
      </c>
      <c r="C35" s="27">
        <f>SUMIF('ميزان المراجعة'!$C$5:$C$121,"مصروفات – إدارية",'ميزان المراجعة'!$J$5:$J$121)-SUMIF('ميزان المراجعة'!$A$5:$A$121,"340008",'ميزان المراجعة'!$J$5:$J$121)-SUMIF('ميزان المراجعة'!$A$5:$A$121,"300072",'ميزان المراجعة'!$J$5:$J$121)</f>
        <v>0</v>
      </c>
      <c r="D35" s="37">
        <f t="shared" si="0"/>
        <v>0</v>
      </c>
    </row>
    <row r="36" spans="1:4" ht="18" customHeight="1">
      <c r="A36" s="44" t="s">
        <v>172</v>
      </c>
    </row>
    <row r="37" spans="1:4" ht="18" customHeight="1">
      <c r="B37" s="8" t="s">
        <v>173</v>
      </c>
      <c r="C37" s="25">
        <f>SUMIF('ميزان المراجعة'!$A$5:$A$121,"350001",'ميزان المراجعة'!$J$5:$J$121)</f>
        <v>0</v>
      </c>
      <c r="D37" s="37">
        <f t="shared" ref="D37:D43" si="1">IFERROR(C37/$C$10,0)</f>
        <v>0</v>
      </c>
    </row>
    <row r="38" spans="1:4" ht="18" customHeight="1">
      <c r="B38" s="12" t="s">
        <v>174</v>
      </c>
      <c r="C38" s="25">
        <f>SUMIF('ميزان المراجعة'!$A$5:$A$121,"350002",'ميزان المراجعة'!$J$5:$J$121)</f>
        <v>0</v>
      </c>
      <c r="D38" s="37">
        <f t="shared" si="1"/>
        <v>0</v>
      </c>
    </row>
    <row r="39" spans="1:4" ht="18" customHeight="1">
      <c r="B39" s="8" t="s">
        <v>175</v>
      </c>
      <c r="C39" s="25">
        <f>SUMIF('ميزان المراجعة'!$A$5:$A$121,"350003",'ميزان المراجعة'!$J$5:$J$121)</f>
        <v>0</v>
      </c>
      <c r="D39" s="37">
        <f t="shared" si="1"/>
        <v>0</v>
      </c>
    </row>
    <row r="40" spans="1:4" ht="18" customHeight="1">
      <c r="B40" s="12" t="s">
        <v>176</v>
      </c>
      <c r="C40" s="25">
        <f>SUMIF('ميزان المراجعة'!$A$5:$A$121,"350004",'ميزان المراجعة'!$J$5:$J$121)</f>
        <v>0</v>
      </c>
      <c r="D40" s="37">
        <f t="shared" si="1"/>
        <v>0</v>
      </c>
    </row>
    <row r="41" spans="1:4" ht="18" customHeight="1">
      <c r="B41" s="8" t="s">
        <v>177</v>
      </c>
      <c r="C41" s="25">
        <f>SUMIF('ميزان المراجعة'!$A$5:$A$121,"350005",'ميزان المراجعة'!$J$5:$J$121)</f>
        <v>0</v>
      </c>
      <c r="D41" s="37">
        <f t="shared" si="1"/>
        <v>0</v>
      </c>
    </row>
    <row r="42" spans="1:4" ht="15" customHeight="1">
      <c r="B42" s="12" t="s">
        <v>178</v>
      </c>
      <c r="C42" s="25">
        <f>SUMIF('ميزان المراجعة'!$A$5:$A$121,"350006",'ميزان المراجعة'!$J$5:$J$121)</f>
        <v>0</v>
      </c>
      <c r="D42" s="37">
        <f t="shared" si="1"/>
        <v>0</v>
      </c>
    </row>
    <row r="43" spans="1:4" ht="18" customHeight="1">
      <c r="B43" s="38" t="s">
        <v>179</v>
      </c>
      <c r="C43" s="45">
        <f>SUMIF('ميزان المراجعة'!$C$5:$C$121,"مصروفات – إهلاك",'ميزان المراجعة'!$J$5:$J$121)</f>
        <v>0</v>
      </c>
      <c r="D43" s="37">
        <f t="shared" si="1"/>
        <v>0</v>
      </c>
    </row>
    <row r="45" spans="1:4" ht="21.75" customHeight="1">
      <c r="A45" s="46"/>
      <c r="B45" s="35" t="s">
        <v>180</v>
      </c>
      <c r="C45" s="47">
        <f>C15-C35-C43</f>
        <v>0</v>
      </c>
      <c r="D45" s="48">
        <f>IFERROR(C45/$C$10,0)</f>
        <v>0</v>
      </c>
    </row>
    <row r="46" spans="1:4" ht="18" customHeight="1"/>
    <row r="47" spans="1:4" ht="18" customHeight="1">
      <c r="A47" s="1" t="s">
        <v>181</v>
      </c>
    </row>
    <row r="48" spans="1:4" ht="18" customHeight="1">
      <c r="B48" s="8" t="s">
        <v>182</v>
      </c>
      <c r="C48" s="25">
        <f>SUMIF('ميزان المراجعة'!$A$5:$A$121,"340008",'ميزان المراجعة'!$J$5:$J$121)</f>
        <v>0</v>
      </c>
      <c r="D48" s="37">
        <f>IFERROR(C48/$C$10,0)</f>
        <v>0</v>
      </c>
    </row>
    <row r="49" spans="1:4" ht="15" customHeight="1">
      <c r="B49" s="12" t="s">
        <v>183</v>
      </c>
      <c r="C49" s="25">
        <v>0</v>
      </c>
      <c r="D49">
        <f>IFERROR(C49/$C$10,0)</f>
        <v>0</v>
      </c>
    </row>
    <row r="50" spans="1:4" ht="18" customHeight="1">
      <c r="B50" s="38" t="s">
        <v>184</v>
      </c>
      <c r="C50" s="45">
        <f>C48+C49</f>
        <v>0</v>
      </c>
      <c r="D50" s="37">
        <f>IFERROR(C50/$C$10,0)</f>
        <v>0</v>
      </c>
    </row>
    <row r="51" spans="1:4" ht="18" customHeight="1"/>
    <row r="52" spans="1:4" ht="18" customHeight="1">
      <c r="B52" s="26" t="s">
        <v>185</v>
      </c>
      <c r="C52" s="45">
        <f>C45-C50</f>
        <v>0</v>
      </c>
      <c r="D52" s="39">
        <f>IFERROR(C52/$C$10,0)</f>
        <v>0</v>
      </c>
    </row>
    <row r="53" spans="1:4" ht="15" customHeight="1">
      <c r="B53" s="8" t="s">
        <v>186</v>
      </c>
      <c r="C53" s="25">
        <f>SUMIF('ميزان المراجعة'!$A$5:$A$121,"300072",'ميزان المراجعة'!$J$5:$J$121)</f>
        <v>0</v>
      </c>
      <c r="D53" s="37">
        <f>IFERROR(C53/$C$10,0)</f>
        <v>0</v>
      </c>
    </row>
    <row r="54" spans="1:4" ht="15" customHeight="1">
      <c r="A54" s="49"/>
      <c r="B54" s="50" t="s">
        <v>187</v>
      </c>
      <c r="C54" s="45">
        <f>C52-C53</f>
        <v>0</v>
      </c>
      <c r="D54" s="39">
        <f>IFERROR(C54/$C$10,0)</f>
        <v>0</v>
      </c>
    </row>
  </sheetData>
  <mergeCells count="5">
    <mergeCell ref="A1:D1"/>
    <mergeCell ref="A2:D2"/>
    <mergeCell ref="A5:D5"/>
    <mergeCell ref="A11:D11"/>
    <mergeCell ref="A17:D17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D7D31"/>
  </sheetPr>
  <dimension ref="A1:S125"/>
  <sheetViews>
    <sheetView rightToLeft="1" tabSelected="1" zoomScaleNormal="100" workbookViewId="0">
      <pane xSplit="2" ySplit="5" topLeftCell="C6" activePane="bottomRight" state="frozen"/>
      <selection pane="topRight" activeCell="C1" sqref="C1"/>
      <selection pane="bottomLeft" activeCell="A96" sqref="A96"/>
      <selection pane="bottomRight" activeCell="C6" sqref="C6"/>
    </sheetView>
  </sheetViews>
  <sheetFormatPr defaultColWidth="8.7109375" defaultRowHeight="15"/>
  <cols>
    <col min="1" max="1" width="12" customWidth="1"/>
    <col min="2" max="2" width="38" customWidth="1"/>
    <col min="3" max="3" width="24" customWidth="1"/>
    <col min="4" max="10" width="18" customWidth="1"/>
    <col min="12" max="13" width="9.7109375" bestFit="1" customWidth="1"/>
    <col min="14" max="14" width="19.140625" bestFit="1" customWidth="1"/>
  </cols>
  <sheetData>
    <row r="1" spans="1:19" ht="16.5" customHeight="1">
      <c r="A1" s="141" t="s">
        <v>188</v>
      </c>
      <c r="B1" s="141"/>
      <c r="C1" s="141"/>
      <c r="D1" s="141"/>
      <c r="E1" s="141"/>
      <c r="F1" s="141"/>
      <c r="G1" s="141"/>
      <c r="H1" s="141"/>
      <c r="I1" s="141"/>
      <c r="J1" s="99"/>
      <c r="K1" s="100"/>
      <c r="L1" s="100"/>
      <c r="M1" s="100"/>
      <c r="N1" s="100"/>
      <c r="O1" s="100"/>
      <c r="P1" s="100"/>
      <c r="Q1" s="100"/>
    </row>
    <row r="2" spans="1:19" ht="15" customHeight="1">
      <c r="A2" s="142" t="s">
        <v>189</v>
      </c>
      <c r="B2" s="142"/>
      <c r="C2" s="142"/>
      <c r="D2" s="142"/>
      <c r="E2" s="142"/>
      <c r="F2" s="142"/>
      <c r="G2" s="142"/>
      <c r="H2" s="142"/>
      <c r="I2" s="142"/>
      <c r="J2" s="101"/>
      <c r="K2" s="100"/>
      <c r="L2" s="100"/>
      <c r="M2" s="100"/>
      <c r="N2" s="100"/>
      <c r="O2" s="100"/>
      <c r="P2" s="100"/>
      <c r="Q2" s="100"/>
    </row>
    <row r="3" spans="1:19" ht="15" customHeight="1">
      <c r="A3" s="141" t="s">
        <v>190</v>
      </c>
      <c r="B3" s="141"/>
      <c r="C3" s="141"/>
      <c r="D3" s="142" t="s">
        <v>191</v>
      </c>
      <c r="E3" s="142"/>
      <c r="F3" s="143" t="s">
        <v>192</v>
      </c>
      <c r="G3" s="143"/>
      <c r="H3" s="144" t="s">
        <v>193</v>
      </c>
      <c r="I3" s="144"/>
      <c r="J3" s="144" t="s">
        <v>194</v>
      </c>
      <c r="K3" s="100"/>
      <c r="L3" s="100"/>
      <c r="M3" s="100"/>
      <c r="N3" s="100"/>
      <c r="O3" s="100"/>
      <c r="P3" s="100"/>
      <c r="Q3" s="100"/>
    </row>
    <row r="4" spans="1:19" ht="15" customHeight="1">
      <c r="A4" s="102" t="s">
        <v>195</v>
      </c>
      <c r="B4" s="102" t="s">
        <v>196</v>
      </c>
      <c r="C4" s="102" t="s">
        <v>197</v>
      </c>
      <c r="D4" s="102" t="s">
        <v>198</v>
      </c>
      <c r="E4" s="102" t="s">
        <v>199</v>
      </c>
      <c r="F4" s="102" t="s">
        <v>198</v>
      </c>
      <c r="G4" s="102" t="s">
        <v>199</v>
      </c>
      <c r="H4" s="102" t="s">
        <v>198</v>
      </c>
      <c r="I4" s="102" t="s">
        <v>199</v>
      </c>
      <c r="J4" s="144"/>
      <c r="K4" s="100"/>
      <c r="L4" s="100"/>
      <c r="M4" s="100"/>
      <c r="N4" s="100"/>
      <c r="O4" s="100"/>
      <c r="P4" s="100"/>
      <c r="Q4" s="100"/>
    </row>
    <row r="5" spans="1:19" ht="18" customHeight="1">
      <c r="A5" s="103"/>
      <c r="B5" s="104" t="str">
        <f>IFERROR(VLOOKUP(A5,'دليل الحسابات'!$A$5:$B$141,2,0),"")</f>
        <v/>
      </c>
      <c r="C5" s="104" t="str">
        <f>IFERROR(VLOOKUP(A5,'دليل الحسابات'!$A$5:$C$141,3,0),"")</f>
        <v/>
      </c>
      <c r="D5" s="105">
        <f>IFERROR(VLOOKUP(A5,'الأرصدة الافتتاحية'!$A$5:$C$121,3,0),0)</f>
        <v>0</v>
      </c>
      <c r="E5" s="105">
        <f>IFERROR(VLOOKUP(A5,'الأرصدة الافتتاحية'!$A$5:$D$121,4,0),0)</f>
        <v>0</v>
      </c>
      <c r="F5" s="106"/>
      <c r="G5" s="106"/>
      <c r="H5" s="107" t="str">
        <f t="shared" ref="H5:H36" si="0">IFERROR(IF(A5="","",D5+IFERROR(F5,0)),0)</f>
        <v/>
      </c>
      <c r="I5" s="107" t="str">
        <f t="shared" ref="I5:I36" si="1">IFERROR(IF(A5="","",E5+IFERROR(G5,0)),0)</f>
        <v/>
      </c>
      <c r="J5" s="107">
        <f t="shared" ref="J5:J36" si="2">IFERROR(H5-I5,0)</f>
        <v>0</v>
      </c>
      <c r="K5" s="100"/>
      <c r="L5" s="100"/>
      <c r="M5" s="100"/>
      <c r="N5" s="100"/>
      <c r="O5" s="100"/>
      <c r="P5" s="100"/>
      <c r="Q5" s="100"/>
    </row>
    <row r="6" spans="1:19" ht="18" customHeight="1">
      <c r="A6" s="103"/>
      <c r="B6" s="104" t="str">
        <f>IFERROR(VLOOKUP(A6,'دليل الحسابات'!$A$5:$B$141,2,0),"")</f>
        <v/>
      </c>
      <c r="C6" s="104" t="str">
        <f>IFERROR(VLOOKUP(A6,'دليل الحسابات'!$A$5:$C$141,3,0),"")</f>
        <v/>
      </c>
      <c r="D6" s="105">
        <f>IFERROR(VLOOKUP(A6,'الأرصدة الافتتاحية'!$A$5:$C$121,3,0),0)</f>
        <v>0</v>
      </c>
      <c r="E6" s="105">
        <f>IFERROR(VLOOKUP(A6,'الأرصدة الافتتاحية'!$A$5:$D$121,4,0),0)</f>
        <v>0</v>
      </c>
      <c r="F6" s="106"/>
      <c r="G6" s="106"/>
      <c r="H6" s="107" t="str">
        <f t="shared" si="0"/>
        <v/>
      </c>
      <c r="I6" s="107" t="str">
        <f t="shared" si="1"/>
        <v/>
      </c>
      <c r="J6" s="107">
        <f t="shared" si="2"/>
        <v>0</v>
      </c>
      <c r="K6" s="158"/>
      <c r="L6" s="159"/>
      <c r="M6" s="159"/>
      <c r="N6" s="160"/>
      <c r="O6" s="160"/>
      <c r="P6" s="160"/>
      <c r="Q6" s="161"/>
      <c r="R6" s="162"/>
      <c r="S6" s="162"/>
    </row>
    <row r="7" spans="1:19" ht="18" customHeight="1">
      <c r="A7" s="103"/>
      <c r="B7" s="104" t="str">
        <f>IFERROR(VLOOKUP(A7,'دليل الحسابات'!$A$5:$B$141,2,0),"")</f>
        <v/>
      </c>
      <c r="C7" s="104" t="str">
        <f>IFERROR(VLOOKUP(A7,'دليل الحسابات'!$A$5:$C$141,3,0),"")</f>
        <v/>
      </c>
      <c r="D7" s="105">
        <f>IFERROR(VLOOKUP(A7,'الأرصدة الافتتاحية'!$A$5:$C$121,3,0),0)</f>
        <v>0</v>
      </c>
      <c r="E7" s="105">
        <f>IFERROR(VLOOKUP(A7,'الأرصدة الافتتاحية'!$A$5:$D$121,4,0),0)</f>
        <v>0</v>
      </c>
      <c r="F7" s="106"/>
      <c r="G7" s="106"/>
      <c r="H7" s="107" t="str">
        <f t="shared" si="0"/>
        <v/>
      </c>
      <c r="I7" s="107" t="str">
        <f t="shared" si="1"/>
        <v/>
      </c>
      <c r="J7" s="107">
        <f t="shared" si="2"/>
        <v>0</v>
      </c>
      <c r="K7" s="158"/>
      <c r="L7" s="158"/>
      <c r="M7" s="158"/>
      <c r="N7" s="158"/>
      <c r="O7" s="158"/>
      <c r="P7" s="158"/>
      <c r="Q7" s="158"/>
      <c r="R7" s="162"/>
      <c r="S7" s="162"/>
    </row>
    <row r="8" spans="1:19" ht="18" customHeight="1">
      <c r="A8" s="103"/>
      <c r="B8" s="104" t="str">
        <f>IFERROR(VLOOKUP(A8,'دليل الحسابات'!$A$5:$B$141,2,0),"")</f>
        <v/>
      </c>
      <c r="C8" s="104" t="str">
        <f>IFERROR(VLOOKUP(A8,'دليل الحسابات'!$A$5:$C$141,3,0),"")</f>
        <v/>
      </c>
      <c r="D8" s="105">
        <f>IFERROR(VLOOKUP(A8,'الأرصدة الافتتاحية'!$A$5:$C$121,3,0),0)</f>
        <v>0</v>
      </c>
      <c r="E8" s="105">
        <f>IFERROR(VLOOKUP(A8,'الأرصدة الافتتاحية'!$A$5:$D$121,4,0),0)</f>
        <v>0</v>
      </c>
      <c r="F8" s="106"/>
      <c r="G8" s="106"/>
      <c r="H8" s="107" t="str">
        <f t="shared" si="0"/>
        <v/>
      </c>
      <c r="I8" s="107" t="str">
        <f t="shared" si="1"/>
        <v/>
      </c>
      <c r="J8" s="107">
        <f t="shared" si="2"/>
        <v>0</v>
      </c>
      <c r="K8" s="158"/>
      <c r="L8" s="158"/>
      <c r="M8" s="158"/>
      <c r="N8" s="158"/>
      <c r="O8" s="158"/>
      <c r="P8" s="158"/>
      <c r="Q8" s="158"/>
      <c r="R8" s="162"/>
      <c r="S8" s="162"/>
    </row>
    <row r="9" spans="1:19" ht="18" customHeight="1">
      <c r="A9" s="103"/>
      <c r="B9" s="104" t="str">
        <f>IFERROR(VLOOKUP(A9,'دليل الحسابات'!$A$5:$B$141,2,0),"")</f>
        <v/>
      </c>
      <c r="C9" s="104" t="str">
        <f>IFERROR(VLOOKUP(A9,'دليل الحسابات'!$A$5:$C$141,3,0),"")</f>
        <v/>
      </c>
      <c r="D9" s="105">
        <f>IFERROR(VLOOKUP(A9,'الأرصدة الافتتاحية'!$A$5:$C$121,3,0),0)</f>
        <v>0</v>
      </c>
      <c r="E9" s="105">
        <f>IFERROR(VLOOKUP(A9,'الأرصدة الافتتاحية'!$A$5:$D$121,4,0),0)</f>
        <v>0</v>
      </c>
      <c r="F9" s="106"/>
      <c r="G9" s="106"/>
      <c r="H9" s="107" t="str">
        <f t="shared" si="0"/>
        <v/>
      </c>
      <c r="I9" s="107" t="str">
        <f t="shared" si="1"/>
        <v/>
      </c>
      <c r="J9" s="107">
        <f t="shared" si="2"/>
        <v>0</v>
      </c>
      <c r="K9" s="158"/>
      <c r="L9" s="158"/>
      <c r="M9" s="158"/>
      <c r="N9" s="158"/>
      <c r="O9" s="158"/>
      <c r="P9" s="158"/>
      <c r="Q9" s="158"/>
      <c r="R9" s="162"/>
      <c r="S9" s="162"/>
    </row>
    <row r="10" spans="1:19" ht="18" customHeight="1">
      <c r="A10" s="103"/>
      <c r="B10" s="104" t="str">
        <f>IFERROR(VLOOKUP(A10,'دليل الحسابات'!$A$5:$B$141,2,0),"")</f>
        <v/>
      </c>
      <c r="C10" s="104" t="str">
        <f>IFERROR(VLOOKUP(A10,'دليل الحسابات'!$A$5:$C$141,3,0),"")</f>
        <v/>
      </c>
      <c r="D10" s="105">
        <f>IFERROR(VLOOKUP(A10,'الأرصدة الافتتاحية'!$A$5:$C$121,3,0),0)</f>
        <v>0</v>
      </c>
      <c r="E10" s="105">
        <f>IFERROR(VLOOKUP(A10,'الأرصدة الافتتاحية'!$A$5:$D$121,4,0),0)</f>
        <v>0</v>
      </c>
      <c r="F10" s="106"/>
      <c r="G10" s="106"/>
      <c r="H10" s="107" t="str">
        <f t="shared" si="0"/>
        <v/>
      </c>
      <c r="I10" s="107" t="str">
        <f t="shared" si="1"/>
        <v/>
      </c>
      <c r="J10" s="107">
        <f t="shared" si="2"/>
        <v>0</v>
      </c>
      <c r="K10" s="158"/>
      <c r="L10" s="158"/>
      <c r="M10" s="158"/>
      <c r="N10" s="158"/>
      <c r="O10" s="158"/>
      <c r="P10" s="158"/>
      <c r="Q10" s="158"/>
      <c r="R10" s="162"/>
      <c r="S10" s="162"/>
    </row>
    <row r="11" spans="1:19" ht="18" customHeight="1">
      <c r="A11" s="103"/>
      <c r="B11" s="104" t="str">
        <f>IFERROR(VLOOKUP(A11,'دليل الحسابات'!$A$5:$B$141,2,0),"")</f>
        <v/>
      </c>
      <c r="C11" s="104" t="str">
        <f>IFERROR(VLOOKUP(A11,'دليل الحسابات'!$A$5:$C$141,3,0),"")</f>
        <v/>
      </c>
      <c r="D11" s="105">
        <f>IFERROR(VLOOKUP(A11,'الأرصدة الافتتاحية'!$A$5:$C$121,3,0),0)</f>
        <v>0</v>
      </c>
      <c r="E11" s="105">
        <f>IFERROR(VLOOKUP(A11,'الأرصدة الافتتاحية'!$A$5:$D$121,4,0),0)</f>
        <v>0</v>
      </c>
      <c r="F11" s="106"/>
      <c r="G11" s="106"/>
      <c r="H11" s="107" t="str">
        <f t="shared" si="0"/>
        <v/>
      </c>
      <c r="I11" s="107" t="str">
        <f t="shared" si="1"/>
        <v/>
      </c>
      <c r="J11" s="107">
        <f t="shared" si="2"/>
        <v>0</v>
      </c>
      <c r="K11" s="158"/>
      <c r="L11" s="158"/>
      <c r="M11" s="158"/>
      <c r="N11" s="158"/>
      <c r="O11" s="158"/>
      <c r="P11" s="158"/>
      <c r="Q11" s="158"/>
      <c r="R11" s="162"/>
      <c r="S11" s="162"/>
    </row>
    <row r="12" spans="1:19" ht="18" customHeight="1">
      <c r="A12" s="103"/>
      <c r="B12" s="104" t="str">
        <f>IFERROR(VLOOKUP(A12,'دليل الحسابات'!$A$5:$B$141,2,0),"")</f>
        <v/>
      </c>
      <c r="C12" s="104" t="str">
        <f>IFERROR(VLOOKUP(A12,'دليل الحسابات'!$A$5:$C$141,3,0),"")</f>
        <v/>
      </c>
      <c r="D12" s="105">
        <f>IFERROR(VLOOKUP(A12,'الأرصدة الافتتاحية'!$A$5:$C$121,3,0),0)</f>
        <v>0</v>
      </c>
      <c r="E12" s="105">
        <f>IFERROR(VLOOKUP(A12,'الأرصدة الافتتاحية'!$A$5:$D$121,4,0),0)</f>
        <v>0</v>
      </c>
      <c r="F12" s="106"/>
      <c r="G12" s="106"/>
      <c r="H12" s="107" t="str">
        <f t="shared" si="0"/>
        <v/>
      </c>
      <c r="I12" s="107" t="str">
        <f t="shared" si="1"/>
        <v/>
      </c>
      <c r="J12" s="107">
        <f t="shared" si="2"/>
        <v>0</v>
      </c>
      <c r="K12" s="158"/>
      <c r="L12" s="158"/>
      <c r="M12" s="158"/>
      <c r="N12" s="160"/>
      <c r="O12" s="160"/>
      <c r="P12" s="160"/>
      <c r="Q12" s="161"/>
      <c r="R12" s="162"/>
      <c r="S12" s="162"/>
    </row>
    <row r="13" spans="1:19" ht="18" customHeight="1">
      <c r="A13" s="103"/>
      <c r="B13" s="104" t="str">
        <f>IFERROR(VLOOKUP(A13,'دليل الحسابات'!$A$5:$B$141,2,0),"")</f>
        <v/>
      </c>
      <c r="C13" s="104" t="str">
        <f>IFERROR(VLOOKUP(A13,'دليل الحسابات'!$A$5:$C$141,3,0),"")</f>
        <v/>
      </c>
      <c r="D13" s="105">
        <f>IFERROR(VLOOKUP(A13,'الأرصدة الافتتاحية'!$A$5:$C$121,3,0),0)</f>
        <v>0</v>
      </c>
      <c r="E13" s="105">
        <f>IFERROR(VLOOKUP(A13,'الأرصدة الافتتاحية'!$A$5:$D$121,4,0),0)</f>
        <v>0</v>
      </c>
      <c r="F13" s="106"/>
      <c r="G13" s="106"/>
      <c r="H13" s="107" t="str">
        <f t="shared" si="0"/>
        <v/>
      </c>
      <c r="I13" s="107" t="str">
        <f t="shared" si="1"/>
        <v/>
      </c>
      <c r="J13" s="107">
        <f t="shared" si="2"/>
        <v>0</v>
      </c>
      <c r="K13" s="158"/>
      <c r="L13" s="158"/>
      <c r="M13" s="158"/>
      <c r="N13" s="158"/>
      <c r="O13" s="158"/>
      <c r="P13" s="158"/>
      <c r="Q13" s="158"/>
      <c r="R13" s="162"/>
      <c r="S13" s="162"/>
    </row>
    <row r="14" spans="1:19" ht="18" customHeight="1">
      <c r="A14" s="103"/>
      <c r="B14" s="104" t="str">
        <f>IFERROR(VLOOKUP(A14,'دليل الحسابات'!$A$5:$B$141,2,0),"")</f>
        <v/>
      </c>
      <c r="C14" s="104" t="str">
        <f>IFERROR(VLOOKUP(A14,'دليل الحسابات'!$A$5:$C$141,3,0),"")</f>
        <v/>
      </c>
      <c r="D14" s="105">
        <f>IFERROR(VLOOKUP(A14,'الأرصدة الافتتاحية'!$A$5:$C$121,3,0),0)</f>
        <v>0</v>
      </c>
      <c r="E14" s="105">
        <f>IFERROR(VLOOKUP(A14,'الأرصدة الافتتاحية'!$A$5:$D$121,4,0),0)</f>
        <v>0</v>
      </c>
      <c r="F14" s="106"/>
      <c r="G14" s="106"/>
      <c r="H14" s="107" t="str">
        <f t="shared" si="0"/>
        <v/>
      </c>
      <c r="I14" s="107" t="str">
        <f t="shared" si="1"/>
        <v/>
      </c>
      <c r="J14" s="107">
        <f t="shared" si="2"/>
        <v>0</v>
      </c>
      <c r="K14" s="158"/>
      <c r="L14" s="158"/>
      <c r="M14" s="158"/>
      <c r="N14" s="158"/>
      <c r="O14" s="158"/>
      <c r="P14" s="158"/>
      <c r="Q14" s="158"/>
      <c r="R14" s="162"/>
      <c r="S14" s="162"/>
    </row>
    <row r="15" spans="1:19" ht="18" customHeight="1">
      <c r="A15" s="103"/>
      <c r="B15" s="104" t="str">
        <f>IFERROR(VLOOKUP(A15,'دليل الحسابات'!$A$5:$B$141,2,0),"")</f>
        <v/>
      </c>
      <c r="C15" s="104" t="str">
        <f>IFERROR(VLOOKUP(A15,'دليل الحسابات'!$A$5:$C$141,3,0),"")</f>
        <v/>
      </c>
      <c r="D15" s="105">
        <f>IFERROR(VLOOKUP(A15,'الأرصدة الافتتاحية'!$A$5:$C$121,3,0),0)</f>
        <v>0</v>
      </c>
      <c r="E15" s="105">
        <f>IFERROR(VLOOKUP(A15,'الأرصدة الافتتاحية'!$A$5:$D$121,4,0),0)</f>
        <v>0</v>
      </c>
      <c r="F15" s="106"/>
      <c r="G15" s="106"/>
      <c r="H15" s="107" t="str">
        <f t="shared" si="0"/>
        <v/>
      </c>
      <c r="I15" s="107" t="str">
        <f t="shared" si="1"/>
        <v/>
      </c>
      <c r="J15" s="107">
        <f t="shared" si="2"/>
        <v>0</v>
      </c>
      <c r="K15" s="158"/>
      <c r="L15" s="158"/>
      <c r="M15" s="158"/>
      <c r="N15" s="158"/>
      <c r="O15" s="158"/>
      <c r="P15" s="158"/>
      <c r="Q15" s="158"/>
      <c r="R15" s="162"/>
      <c r="S15" s="162"/>
    </row>
    <row r="16" spans="1:19" ht="18" customHeight="1">
      <c r="A16" s="103"/>
      <c r="B16" s="104" t="str">
        <f>IFERROR(VLOOKUP(A16,'دليل الحسابات'!$A$5:$B$141,2,0),"")</f>
        <v/>
      </c>
      <c r="C16" s="104" t="str">
        <f>IFERROR(VLOOKUP(A16,'دليل الحسابات'!$A$5:$C$141,3,0),"")</f>
        <v/>
      </c>
      <c r="D16" s="105">
        <f>IFERROR(VLOOKUP(A16,'الأرصدة الافتتاحية'!$A$5:$C$121,3,0),0)</f>
        <v>0</v>
      </c>
      <c r="E16" s="105">
        <f>IFERROR(VLOOKUP(A16,'الأرصدة الافتتاحية'!$A$5:$D$121,4,0),0)</f>
        <v>0</v>
      </c>
      <c r="F16" s="106"/>
      <c r="G16" s="106"/>
      <c r="H16" s="107" t="str">
        <f t="shared" si="0"/>
        <v/>
      </c>
      <c r="I16" s="107" t="str">
        <f t="shared" si="1"/>
        <v/>
      </c>
      <c r="J16" s="107">
        <f t="shared" si="2"/>
        <v>0</v>
      </c>
      <c r="K16" s="158"/>
      <c r="L16" s="158"/>
      <c r="M16" s="158"/>
      <c r="N16" s="158"/>
      <c r="O16" s="158"/>
      <c r="P16" s="158"/>
      <c r="Q16" s="158"/>
      <c r="R16" s="162"/>
      <c r="S16" s="162"/>
    </row>
    <row r="17" spans="1:19" ht="18" customHeight="1">
      <c r="A17" s="103"/>
      <c r="B17" s="104" t="str">
        <f>IFERROR(VLOOKUP(A17,'دليل الحسابات'!$A$5:$B$141,2,0),"")</f>
        <v/>
      </c>
      <c r="C17" s="104" t="str">
        <f>IFERROR(VLOOKUP(A17,'دليل الحسابات'!$A$5:$C$141,3,0),"")</f>
        <v/>
      </c>
      <c r="D17" s="105">
        <f>IFERROR(VLOOKUP(A17,'الأرصدة الافتتاحية'!$A$5:$C$121,3,0),0)</f>
        <v>0</v>
      </c>
      <c r="E17" s="105">
        <f>IFERROR(VLOOKUP(A17,'الأرصدة الافتتاحية'!$A$5:$D$121,4,0),0)</f>
        <v>0</v>
      </c>
      <c r="F17" s="106"/>
      <c r="G17" s="106"/>
      <c r="H17" s="107" t="str">
        <f t="shared" si="0"/>
        <v/>
      </c>
      <c r="I17" s="107" t="str">
        <f t="shared" si="1"/>
        <v/>
      </c>
      <c r="J17" s="107">
        <f t="shared" si="2"/>
        <v>0</v>
      </c>
      <c r="K17" s="158"/>
      <c r="L17" s="158"/>
      <c r="M17" s="158"/>
      <c r="N17" s="158"/>
      <c r="O17" s="158"/>
      <c r="P17" s="158"/>
      <c r="Q17" s="158"/>
      <c r="R17" s="162"/>
      <c r="S17" s="162"/>
    </row>
    <row r="18" spans="1:19" ht="18" customHeight="1">
      <c r="A18" s="103"/>
      <c r="B18" s="104" t="str">
        <f>IFERROR(VLOOKUP(A18,'دليل الحسابات'!$A$5:$B$141,2,0),"")</f>
        <v/>
      </c>
      <c r="C18" s="104" t="str">
        <f>IFERROR(VLOOKUP(A18,'دليل الحسابات'!$A$5:$C$141,3,0),"")</f>
        <v/>
      </c>
      <c r="D18" s="105">
        <f>IFERROR(VLOOKUP(A18,'الأرصدة الافتتاحية'!$A$5:$C$121,3,0),0)</f>
        <v>0</v>
      </c>
      <c r="E18" s="105">
        <f>IFERROR(VLOOKUP(A18,'الأرصدة الافتتاحية'!$A$5:$D$121,4,0),0)</f>
        <v>0</v>
      </c>
      <c r="F18" s="106"/>
      <c r="G18" s="106"/>
      <c r="H18" s="107" t="str">
        <f t="shared" si="0"/>
        <v/>
      </c>
      <c r="I18" s="107" t="str">
        <f t="shared" si="1"/>
        <v/>
      </c>
      <c r="J18" s="107">
        <f t="shared" si="2"/>
        <v>0</v>
      </c>
      <c r="K18" s="158"/>
      <c r="L18" s="158"/>
      <c r="M18" s="158"/>
      <c r="N18" s="158"/>
      <c r="O18" s="158"/>
      <c r="P18" s="158"/>
      <c r="Q18" s="158"/>
      <c r="R18" s="162"/>
      <c r="S18" s="162"/>
    </row>
    <row r="19" spans="1:19" ht="18" customHeight="1">
      <c r="A19" s="103"/>
      <c r="B19" s="104" t="str">
        <f>IFERROR(VLOOKUP(A19,'دليل الحسابات'!$A$5:$B$141,2,0),"")</f>
        <v/>
      </c>
      <c r="C19" s="104" t="str">
        <f>IFERROR(VLOOKUP(A19,'دليل الحسابات'!$A$5:$C$141,3,0),"")</f>
        <v/>
      </c>
      <c r="D19" s="105">
        <f>IFERROR(VLOOKUP(A19,'الأرصدة الافتتاحية'!$A$5:$C$121,3,0),0)</f>
        <v>0</v>
      </c>
      <c r="E19" s="105">
        <f>IFERROR(VLOOKUP(A19,'الأرصدة الافتتاحية'!$A$5:$D$121,4,0),0)</f>
        <v>0</v>
      </c>
      <c r="F19" s="106"/>
      <c r="G19" s="106"/>
      <c r="H19" s="107" t="str">
        <f t="shared" si="0"/>
        <v/>
      </c>
      <c r="I19" s="107" t="str">
        <f t="shared" si="1"/>
        <v/>
      </c>
      <c r="J19" s="107">
        <f t="shared" si="2"/>
        <v>0</v>
      </c>
      <c r="K19" s="158"/>
      <c r="L19" s="158"/>
      <c r="M19" s="158"/>
      <c r="N19" s="158"/>
      <c r="O19" s="158"/>
      <c r="P19" s="158"/>
      <c r="Q19" s="158"/>
      <c r="R19" s="162"/>
      <c r="S19" s="162"/>
    </row>
    <row r="20" spans="1:19" ht="18" customHeight="1">
      <c r="A20" s="103"/>
      <c r="B20" s="104" t="str">
        <f>IFERROR(VLOOKUP(A20,'دليل الحسابات'!$A$5:$B$141,2,0),"")</f>
        <v/>
      </c>
      <c r="C20" s="104" t="str">
        <f>IFERROR(VLOOKUP(A20,'دليل الحسابات'!$A$5:$C$141,3,0),"")</f>
        <v/>
      </c>
      <c r="D20" s="105">
        <f>IFERROR(VLOOKUP(A20,'الأرصدة الافتتاحية'!$A$5:$C$121,3,0),0)</f>
        <v>0</v>
      </c>
      <c r="E20" s="105">
        <f>IFERROR(VLOOKUP(A20,'الأرصدة الافتتاحية'!$A$5:$D$121,4,0),0)</f>
        <v>0</v>
      </c>
      <c r="F20" s="106"/>
      <c r="G20" s="106"/>
      <c r="H20" s="107" t="str">
        <f t="shared" si="0"/>
        <v/>
      </c>
      <c r="I20" s="107" t="str">
        <f t="shared" si="1"/>
        <v/>
      </c>
      <c r="J20" s="107">
        <f t="shared" si="2"/>
        <v>0</v>
      </c>
      <c r="K20" s="158"/>
      <c r="L20" s="158"/>
      <c r="M20" s="158"/>
      <c r="N20" s="158"/>
      <c r="O20" s="158"/>
      <c r="P20" s="158"/>
      <c r="Q20" s="158"/>
      <c r="R20" s="162"/>
      <c r="S20" s="162"/>
    </row>
    <row r="21" spans="1:19" ht="18" customHeight="1">
      <c r="A21" s="103"/>
      <c r="B21" s="104" t="str">
        <f>IFERROR(VLOOKUP(A21,'دليل الحسابات'!$A$5:$B$141,2,0),"")</f>
        <v/>
      </c>
      <c r="C21" s="104" t="str">
        <f>IFERROR(VLOOKUP(A21,'دليل الحسابات'!$A$5:$C$141,3,0),"")</f>
        <v/>
      </c>
      <c r="D21" s="105">
        <f>IFERROR(VLOOKUP(A21,'الأرصدة الافتتاحية'!$A$5:$C$121,3,0),0)</f>
        <v>0</v>
      </c>
      <c r="E21" s="105">
        <f>IFERROR(VLOOKUP(A21,'الأرصدة الافتتاحية'!$A$5:$D$121,4,0),0)</f>
        <v>0</v>
      </c>
      <c r="F21" s="106"/>
      <c r="G21" s="106"/>
      <c r="H21" s="107" t="str">
        <f t="shared" si="0"/>
        <v/>
      </c>
      <c r="I21" s="107" t="str">
        <f t="shared" si="1"/>
        <v/>
      </c>
      <c r="J21" s="107">
        <f t="shared" si="2"/>
        <v>0</v>
      </c>
      <c r="K21" s="158"/>
      <c r="L21" s="158"/>
      <c r="M21" s="158"/>
      <c r="N21" s="158"/>
      <c r="O21" s="158"/>
      <c r="P21" s="158"/>
      <c r="Q21" s="158"/>
      <c r="R21" s="162"/>
      <c r="S21" s="162"/>
    </row>
    <row r="22" spans="1:19" ht="18" customHeight="1">
      <c r="A22" s="103"/>
      <c r="B22" s="104" t="str">
        <f>IFERROR(VLOOKUP(A22,'دليل الحسابات'!$A$5:$B$141,2,0),"")</f>
        <v/>
      </c>
      <c r="C22" s="104" t="str">
        <f>IFERROR(VLOOKUP(A22,'دليل الحسابات'!$A$5:$C$141,3,0),"")</f>
        <v/>
      </c>
      <c r="D22" s="105">
        <f>IFERROR(VLOOKUP(A22,'الأرصدة الافتتاحية'!$A$5:$C$121,3,0),0)</f>
        <v>0</v>
      </c>
      <c r="E22" s="105">
        <f>IFERROR(VLOOKUP(A22,'الأرصدة الافتتاحية'!$A$5:$D$121,4,0),0)</f>
        <v>0</v>
      </c>
      <c r="F22" s="106"/>
      <c r="G22" s="106"/>
      <c r="H22" s="107" t="str">
        <f t="shared" si="0"/>
        <v/>
      </c>
      <c r="I22" s="107" t="str">
        <f t="shared" si="1"/>
        <v/>
      </c>
      <c r="J22" s="107">
        <f t="shared" si="2"/>
        <v>0</v>
      </c>
      <c r="K22" s="158"/>
      <c r="L22" s="158"/>
      <c r="M22" s="158"/>
      <c r="N22" s="158"/>
      <c r="O22" s="158"/>
      <c r="P22" s="158"/>
      <c r="Q22" s="158"/>
      <c r="R22" s="162"/>
      <c r="S22" s="162"/>
    </row>
    <row r="23" spans="1:19" ht="18" customHeight="1">
      <c r="A23" s="103"/>
      <c r="B23" s="104" t="str">
        <f>IFERROR(VLOOKUP(A23,'دليل الحسابات'!$A$5:$B$141,2,0),"")</f>
        <v/>
      </c>
      <c r="C23" s="104" t="str">
        <f>IFERROR(VLOOKUP(A23,'دليل الحسابات'!$A$5:$C$141,3,0),"")</f>
        <v/>
      </c>
      <c r="D23" s="105">
        <f>IFERROR(VLOOKUP(A23,'الأرصدة الافتتاحية'!$A$5:$C$121,3,0),0)</f>
        <v>0</v>
      </c>
      <c r="E23" s="105">
        <f>IFERROR(VLOOKUP(A23,'الأرصدة الافتتاحية'!$A$5:$D$121,4,0),0)</f>
        <v>0</v>
      </c>
      <c r="F23" s="106"/>
      <c r="G23" s="106"/>
      <c r="H23" s="107" t="str">
        <f t="shared" si="0"/>
        <v/>
      </c>
      <c r="I23" s="107" t="str">
        <f t="shared" si="1"/>
        <v/>
      </c>
      <c r="J23" s="107">
        <f t="shared" si="2"/>
        <v>0</v>
      </c>
      <c r="K23" s="158"/>
      <c r="L23" s="158"/>
      <c r="M23" s="158"/>
      <c r="N23" s="158"/>
      <c r="O23" s="158"/>
      <c r="P23" s="158"/>
      <c r="Q23" s="158"/>
      <c r="R23" s="162"/>
      <c r="S23" s="162"/>
    </row>
    <row r="24" spans="1:19" ht="18" customHeight="1">
      <c r="A24" s="103"/>
      <c r="B24" s="104" t="str">
        <f>IFERROR(VLOOKUP(A24,'دليل الحسابات'!$A$5:$B$141,2,0),"")</f>
        <v/>
      </c>
      <c r="C24" s="104" t="str">
        <f>IFERROR(VLOOKUP(A24,'دليل الحسابات'!$A$5:$C$141,3,0),"")</f>
        <v/>
      </c>
      <c r="D24" s="105">
        <f>IFERROR(VLOOKUP(A24,'الأرصدة الافتتاحية'!$A$5:$C$121,3,0),0)</f>
        <v>0</v>
      </c>
      <c r="E24" s="105">
        <f>IFERROR(VLOOKUP(A24,'الأرصدة الافتتاحية'!$A$5:$D$121,4,0),0)</f>
        <v>0</v>
      </c>
      <c r="F24" s="106"/>
      <c r="G24" s="106"/>
      <c r="H24" s="107" t="str">
        <f t="shared" si="0"/>
        <v/>
      </c>
      <c r="I24" s="107" t="str">
        <f t="shared" si="1"/>
        <v/>
      </c>
      <c r="J24" s="107">
        <f t="shared" si="2"/>
        <v>0</v>
      </c>
      <c r="K24" s="158"/>
      <c r="L24" s="158"/>
      <c r="M24" s="158"/>
      <c r="N24" s="158"/>
      <c r="O24" s="158"/>
      <c r="P24" s="158"/>
      <c r="Q24" s="158"/>
      <c r="R24" s="162"/>
      <c r="S24" s="162"/>
    </row>
    <row r="25" spans="1:19" ht="18" customHeight="1">
      <c r="A25" s="103"/>
      <c r="B25" s="104" t="str">
        <f>IFERROR(VLOOKUP(A25,'دليل الحسابات'!$A$5:$B$141,2,0),"")</f>
        <v/>
      </c>
      <c r="C25" s="104" t="str">
        <f>IFERROR(VLOOKUP(A25,'دليل الحسابات'!$A$5:$C$141,3,0),"")</f>
        <v/>
      </c>
      <c r="D25" s="105">
        <f>IFERROR(VLOOKUP(A25,'الأرصدة الافتتاحية'!$A$5:$C$121,3,0),0)</f>
        <v>0</v>
      </c>
      <c r="E25" s="105">
        <f>IFERROR(VLOOKUP(A25,'الأرصدة الافتتاحية'!$A$5:$D$121,4,0),0)</f>
        <v>0</v>
      </c>
      <c r="F25" s="106"/>
      <c r="G25" s="106"/>
      <c r="H25" s="107" t="str">
        <f t="shared" si="0"/>
        <v/>
      </c>
      <c r="I25" s="107" t="str">
        <f t="shared" si="1"/>
        <v/>
      </c>
      <c r="J25" s="107">
        <f t="shared" si="2"/>
        <v>0</v>
      </c>
      <c r="K25" s="158"/>
      <c r="L25" s="158"/>
      <c r="M25" s="158"/>
      <c r="N25" s="158"/>
      <c r="O25" s="158"/>
      <c r="P25" s="158"/>
      <c r="Q25" s="158"/>
      <c r="R25" s="162"/>
      <c r="S25" s="162"/>
    </row>
    <row r="26" spans="1:19" ht="18" customHeight="1">
      <c r="A26" s="103"/>
      <c r="B26" s="104" t="str">
        <f>IFERROR(VLOOKUP(A26,'دليل الحسابات'!$A$5:$B$141,2,0),"")</f>
        <v/>
      </c>
      <c r="C26" s="104" t="str">
        <f>IFERROR(VLOOKUP(A26,'دليل الحسابات'!$A$5:$C$141,3,0),"")</f>
        <v/>
      </c>
      <c r="D26" s="105">
        <f>IFERROR(VLOOKUP(A26,'الأرصدة الافتتاحية'!$A$5:$C$121,3,0),0)</f>
        <v>0</v>
      </c>
      <c r="E26" s="105">
        <f>IFERROR(VLOOKUP(A26,'الأرصدة الافتتاحية'!$A$5:$D$121,4,0),0)</f>
        <v>0</v>
      </c>
      <c r="F26" s="106"/>
      <c r="G26" s="106"/>
      <c r="H26" s="107" t="str">
        <f t="shared" si="0"/>
        <v/>
      </c>
      <c r="I26" s="107" t="str">
        <f t="shared" si="1"/>
        <v/>
      </c>
      <c r="J26" s="107">
        <f t="shared" si="2"/>
        <v>0</v>
      </c>
      <c r="K26" s="158"/>
      <c r="L26" s="158"/>
      <c r="M26" s="158"/>
      <c r="N26" s="158"/>
      <c r="O26" s="158"/>
      <c r="P26" s="158"/>
      <c r="Q26" s="158"/>
      <c r="R26" s="162"/>
      <c r="S26" s="162"/>
    </row>
    <row r="27" spans="1:19" ht="18" customHeight="1">
      <c r="A27" s="103"/>
      <c r="B27" s="104" t="str">
        <f>IFERROR(VLOOKUP(A27,'دليل الحسابات'!$A$5:$B$141,2,0),"")</f>
        <v/>
      </c>
      <c r="C27" s="104" t="str">
        <f>IFERROR(VLOOKUP(A27,'دليل الحسابات'!$A$5:$C$141,3,0),"")</f>
        <v/>
      </c>
      <c r="D27" s="105">
        <f>IFERROR(VLOOKUP(A27,'الأرصدة الافتتاحية'!$A$5:$C$121,3,0),0)</f>
        <v>0</v>
      </c>
      <c r="E27" s="105">
        <f>IFERROR(VLOOKUP(A27,'الأرصدة الافتتاحية'!$A$5:$D$121,4,0),0)</f>
        <v>0</v>
      </c>
      <c r="F27" s="106"/>
      <c r="G27" s="106"/>
      <c r="H27" s="107" t="str">
        <f t="shared" si="0"/>
        <v/>
      </c>
      <c r="I27" s="107" t="str">
        <f t="shared" si="1"/>
        <v/>
      </c>
      <c r="J27" s="107">
        <f t="shared" si="2"/>
        <v>0</v>
      </c>
      <c r="K27" s="158"/>
      <c r="L27" s="158"/>
      <c r="M27" s="158"/>
      <c r="N27" s="158"/>
      <c r="O27" s="158"/>
      <c r="P27" s="158"/>
      <c r="Q27" s="158"/>
      <c r="R27" s="162"/>
      <c r="S27" s="162"/>
    </row>
    <row r="28" spans="1:19" ht="18" customHeight="1">
      <c r="A28" s="103"/>
      <c r="B28" s="104" t="str">
        <f>IFERROR(VLOOKUP(A28,'دليل الحسابات'!$A$5:$B$141,2,0),"")</f>
        <v/>
      </c>
      <c r="C28" s="104" t="str">
        <f>IFERROR(VLOOKUP(A28,'دليل الحسابات'!$A$5:$C$141,3,0),"")</f>
        <v/>
      </c>
      <c r="D28" s="105">
        <f>IFERROR(VLOOKUP(A28,'الأرصدة الافتتاحية'!$A$5:$C$121,3,0),0)</f>
        <v>0</v>
      </c>
      <c r="E28" s="105">
        <f>IFERROR(VLOOKUP(A28,'الأرصدة الافتتاحية'!$A$5:$D$121,4,0),0)</f>
        <v>0</v>
      </c>
      <c r="F28" s="106"/>
      <c r="G28" s="106"/>
      <c r="H28" s="107" t="str">
        <f t="shared" si="0"/>
        <v/>
      </c>
      <c r="I28" s="107" t="str">
        <f t="shared" si="1"/>
        <v/>
      </c>
      <c r="J28" s="107">
        <f t="shared" si="2"/>
        <v>0</v>
      </c>
      <c r="K28" s="158"/>
      <c r="L28" s="158"/>
      <c r="M28" s="158"/>
      <c r="N28" s="158"/>
      <c r="O28" s="158"/>
      <c r="P28" s="158"/>
      <c r="Q28" s="158"/>
      <c r="R28" s="162"/>
      <c r="S28" s="162"/>
    </row>
    <row r="29" spans="1:19" ht="18" customHeight="1">
      <c r="A29" s="103"/>
      <c r="B29" s="104" t="str">
        <f>IFERROR(VLOOKUP(A29,'دليل الحسابات'!$A$5:$B$141,2,0),"")</f>
        <v/>
      </c>
      <c r="C29" s="104" t="str">
        <f>IFERROR(VLOOKUP(A29,'دليل الحسابات'!$A$5:$C$141,3,0),"")</f>
        <v/>
      </c>
      <c r="D29" s="105">
        <f>IFERROR(VLOOKUP(A29,'الأرصدة الافتتاحية'!$A$5:$C$121,3,0),0)</f>
        <v>0</v>
      </c>
      <c r="E29" s="105">
        <f>IFERROR(VLOOKUP(A29,'الأرصدة الافتتاحية'!$A$5:$D$121,4,0),0)</f>
        <v>0</v>
      </c>
      <c r="F29" s="106"/>
      <c r="G29" s="106"/>
      <c r="H29" s="107" t="str">
        <f t="shared" si="0"/>
        <v/>
      </c>
      <c r="I29" s="107" t="str">
        <f t="shared" si="1"/>
        <v/>
      </c>
      <c r="J29" s="107">
        <f t="shared" si="2"/>
        <v>0</v>
      </c>
      <c r="K29" s="158"/>
      <c r="L29" s="158"/>
      <c r="M29" s="158"/>
      <c r="N29" s="158"/>
      <c r="O29" s="158"/>
      <c r="P29" s="158"/>
      <c r="Q29" s="158"/>
      <c r="R29" s="162"/>
      <c r="S29" s="162"/>
    </row>
    <row r="30" spans="1:19" ht="18" customHeight="1">
      <c r="A30" s="103"/>
      <c r="B30" s="116" t="str">
        <f>IFERROR(VLOOKUP(A30,'دليل الحسابات'!$A$5:$B$141,2,0),"")</f>
        <v/>
      </c>
      <c r="C30" s="104" t="str">
        <f>IFERROR(VLOOKUP(A30,'دليل الحسابات'!$A$5:$C$141,3,0),"")</f>
        <v/>
      </c>
      <c r="D30" s="105">
        <f>IFERROR(VLOOKUP(A30,'الأرصدة الافتتاحية'!$A$5:$C$121,3,0),0)</f>
        <v>0</v>
      </c>
      <c r="E30" s="105">
        <f>IFERROR(VLOOKUP(A30,'الأرصدة الافتتاحية'!$A$5:$D$121,4,0),0)</f>
        <v>0</v>
      </c>
      <c r="F30" s="106"/>
      <c r="G30" s="106"/>
      <c r="H30" s="107" t="str">
        <f t="shared" si="0"/>
        <v/>
      </c>
      <c r="I30" s="107" t="str">
        <f t="shared" si="1"/>
        <v/>
      </c>
      <c r="J30" s="107">
        <f t="shared" si="2"/>
        <v>0</v>
      </c>
      <c r="K30" s="158"/>
      <c r="L30" s="158"/>
      <c r="M30" s="158"/>
      <c r="N30" s="158"/>
      <c r="O30" s="158"/>
      <c r="P30" s="158"/>
      <c r="Q30" s="158"/>
      <c r="R30" s="162"/>
      <c r="S30" s="162"/>
    </row>
    <row r="31" spans="1:19" ht="18" customHeight="1">
      <c r="A31" s="103"/>
      <c r="B31" s="116" t="str">
        <f>IFERROR(VLOOKUP(A31,'دليل الحسابات'!$A$5:$B$141,2,0),"")</f>
        <v/>
      </c>
      <c r="C31" s="104" t="str">
        <f>IFERROR(VLOOKUP(A31,'دليل الحسابات'!$A$5:$C$141,3,0),"")</f>
        <v/>
      </c>
      <c r="D31" s="105">
        <f>IFERROR(VLOOKUP(A31,'الأرصدة الافتتاحية'!$A$5:$C$121,3,0),0)</f>
        <v>0</v>
      </c>
      <c r="E31" s="105">
        <f>IFERROR(VLOOKUP(A31,'الأرصدة الافتتاحية'!$A$5:$D$121,4,0),0)</f>
        <v>0</v>
      </c>
      <c r="F31" s="106"/>
      <c r="G31" s="106"/>
      <c r="H31" s="107" t="str">
        <f t="shared" si="0"/>
        <v/>
      </c>
      <c r="I31" s="107" t="str">
        <f t="shared" si="1"/>
        <v/>
      </c>
      <c r="J31" s="107">
        <f t="shared" si="2"/>
        <v>0</v>
      </c>
      <c r="K31" s="158"/>
      <c r="L31" s="158"/>
      <c r="M31" s="158"/>
      <c r="N31" s="158"/>
      <c r="O31" s="158"/>
      <c r="P31" s="158"/>
      <c r="Q31" s="158"/>
      <c r="R31" s="162"/>
      <c r="S31" s="162"/>
    </row>
    <row r="32" spans="1:19" ht="18" customHeight="1">
      <c r="A32" s="103"/>
      <c r="B32" s="116" t="str">
        <f>IFERROR(VLOOKUP(A32,'دليل الحسابات'!$A$5:$B$141,2,0),"")</f>
        <v/>
      </c>
      <c r="C32" s="104" t="str">
        <f>IFERROR(VLOOKUP(A32,'دليل الحسابات'!$A$5:$C$141,3,0),"")</f>
        <v/>
      </c>
      <c r="D32" s="105">
        <f>IFERROR(VLOOKUP(A32,'الأرصدة الافتتاحية'!$A$5:$C$121,3,0),0)</f>
        <v>0</v>
      </c>
      <c r="E32" s="105">
        <f>IFERROR(VLOOKUP(A32,'الأرصدة الافتتاحية'!$A$5:$D$121,4,0),0)</f>
        <v>0</v>
      </c>
      <c r="F32" s="106"/>
      <c r="G32" s="106"/>
      <c r="H32" s="107" t="str">
        <f t="shared" si="0"/>
        <v/>
      </c>
      <c r="I32" s="107" t="str">
        <f t="shared" si="1"/>
        <v/>
      </c>
      <c r="J32" s="107">
        <f t="shared" si="2"/>
        <v>0</v>
      </c>
      <c r="K32" s="158"/>
      <c r="L32" s="158"/>
      <c r="M32" s="158"/>
      <c r="N32" s="163"/>
      <c r="O32" s="158"/>
      <c r="P32" s="158"/>
      <c r="Q32" s="158"/>
      <c r="R32" s="162"/>
      <c r="S32" s="162"/>
    </row>
    <row r="33" spans="1:19" ht="18" customHeight="1">
      <c r="A33" s="103"/>
      <c r="B33" s="116" t="str">
        <f>IFERROR(VLOOKUP(A33,'دليل الحسابات'!$A$5:$B$141,2,0),"")</f>
        <v/>
      </c>
      <c r="C33" s="104" t="str">
        <f>IFERROR(VLOOKUP(A33,'دليل الحسابات'!$A$5:$C$141,3,0),"")</f>
        <v/>
      </c>
      <c r="D33" s="105">
        <f>IFERROR(VLOOKUP(A33,'الأرصدة الافتتاحية'!$A$5:$C$121,3,0),0)</f>
        <v>0</v>
      </c>
      <c r="E33" s="105">
        <f>IFERROR(VLOOKUP(A33,'الأرصدة الافتتاحية'!$A$5:$D$121,4,0),0)</f>
        <v>0</v>
      </c>
      <c r="F33" s="106"/>
      <c r="G33" s="106"/>
      <c r="H33" s="107" t="str">
        <f t="shared" si="0"/>
        <v/>
      </c>
      <c r="I33" s="107" t="str">
        <f t="shared" si="1"/>
        <v/>
      </c>
      <c r="J33" s="107">
        <f t="shared" si="2"/>
        <v>0</v>
      </c>
      <c r="K33" s="158"/>
      <c r="L33" s="158"/>
      <c r="M33" s="158"/>
      <c r="N33" s="158"/>
      <c r="O33" s="158"/>
      <c r="P33" s="158"/>
      <c r="Q33" s="158"/>
      <c r="R33" s="162"/>
      <c r="S33" s="162"/>
    </row>
    <row r="34" spans="1:19" ht="18" customHeight="1">
      <c r="A34" s="103"/>
      <c r="B34" s="116" t="str">
        <f>IFERROR(VLOOKUP(A34,'دليل الحسابات'!$A$5:$B$141,2,0),"")</f>
        <v/>
      </c>
      <c r="C34" s="104" t="str">
        <f>IFERROR(VLOOKUP(A34,'دليل الحسابات'!$A$5:$C$141,3,0),"")</f>
        <v/>
      </c>
      <c r="D34" s="105">
        <f>IFERROR(VLOOKUP(A34,'الأرصدة الافتتاحية'!$A$5:$C$121,3,0),0)</f>
        <v>0</v>
      </c>
      <c r="E34" s="105">
        <f>IFERROR(VLOOKUP(A34,'الأرصدة الافتتاحية'!$A$5:$D$121,4,0),0)</f>
        <v>0</v>
      </c>
      <c r="F34" s="106"/>
      <c r="G34" s="106"/>
      <c r="H34" s="107" t="str">
        <f t="shared" si="0"/>
        <v/>
      </c>
      <c r="I34" s="107" t="str">
        <f t="shared" si="1"/>
        <v/>
      </c>
      <c r="J34" s="107">
        <f t="shared" si="2"/>
        <v>0</v>
      </c>
      <c r="K34" s="158"/>
      <c r="L34" s="158"/>
      <c r="M34" s="158"/>
      <c r="N34" s="158"/>
      <c r="O34" s="158"/>
      <c r="P34" s="158"/>
      <c r="Q34" s="158"/>
      <c r="R34" s="162"/>
      <c r="S34" s="162"/>
    </row>
    <row r="35" spans="1:19" ht="18" customHeight="1">
      <c r="A35" s="103"/>
      <c r="B35" s="116" t="str">
        <f>IFERROR(VLOOKUP(A35,'دليل الحسابات'!$A$5:$B$141,2,0),"")</f>
        <v/>
      </c>
      <c r="C35" s="104" t="str">
        <f>IFERROR(VLOOKUP(A35,'دليل الحسابات'!$A$5:$C$141,3,0),"")</f>
        <v/>
      </c>
      <c r="D35" s="105">
        <f>IFERROR(VLOOKUP(A35,'الأرصدة الافتتاحية'!$A$5:$C$121,3,0),0)</f>
        <v>0</v>
      </c>
      <c r="E35" s="105">
        <f>IFERROR(VLOOKUP(A35,'الأرصدة الافتتاحية'!$A$5:$D$121,4,0),0)</f>
        <v>0</v>
      </c>
      <c r="F35" s="106"/>
      <c r="G35" s="106"/>
      <c r="H35" s="107" t="str">
        <f t="shared" si="0"/>
        <v/>
      </c>
      <c r="I35" s="107" t="str">
        <f t="shared" si="1"/>
        <v/>
      </c>
      <c r="J35" s="107">
        <f t="shared" si="2"/>
        <v>0</v>
      </c>
      <c r="K35" s="158"/>
      <c r="L35" s="158"/>
      <c r="M35" s="158"/>
      <c r="N35" s="164"/>
      <c r="O35" s="158"/>
      <c r="P35" s="158"/>
      <c r="Q35" s="158"/>
      <c r="R35" s="162"/>
      <c r="S35" s="162"/>
    </row>
    <row r="36" spans="1:19" ht="18" customHeight="1">
      <c r="A36" s="103"/>
      <c r="B36" s="116" t="str">
        <f>IFERROR(VLOOKUP(A36,'دليل الحسابات'!$A$5:$B$141,2,0),"")</f>
        <v/>
      </c>
      <c r="C36" s="104" t="str">
        <f>IFERROR(VLOOKUP(A36,'دليل الحسابات'!$A$5:$C$141,3,0),"")</f>
        <v/>
      </c>
      <c r="D36" s="105">
        <f>IFERROR(VLOOKUP(A36,'الأرصدة الافتتاحية'!$A$5:$C$121,3,0),0)</f>
        <v>0</v>
      </c>
      <c r="E36" s="105">
        <f>IFERROR(VLOOKUP(A36,'الأرصدة الافتتاحية'!$A$5:$D$121,4,0),0)</f>
        <v>0</v>
      </c>
      <c r="F36" s="106"/>
      <c r="G36" s="106"/>
      <c r="H36" s="107" t="str">
        <f t="shared" si="0"/>
        <v/>
      </c>
      <c r="I36" s="107" t="str">
        <f t="shared" si="1"/>
        <v/>
      </c>
      <c r="J36" s="107">
        <f t="shared" si="2"/>
        <v>0</v>
      </c>
      <c r="K36" s="158"/>
      <c r="L36" s="158"/>
      <c r="M36" s="158"/>
      <c r="N36" s="158"/>
      <c r="O36" s="158"/>
      <c r="P36" s="158"/>
      <c r="Q36" s="158"/>
      <c r="R36" s="162"/>
      <c r="S36" s="162"/>
    </row>
    <row r="37" spans="1:19" ht="18" customHeight="1">
      <c r="A37" s="103"/>
      <c r="B37" s="104" t="str">
        <f>IFERROR(VLOOKUP(A37,'دليل الحسابات'!$A$5:$B$141,2,0),"")</f>
        <v/>
      </c>
      <c r="C37" s="104" t="str">
        <f>IFERROR(VLOOKUP(A37,'دليل الحسابات'!$A$5:$C$141,3,0),"")</f>
        <v/>
      </c>
      <c r="D37" s="105">
        <f>IFERROR(VLOOKUP(A37,'الأرصدة الافتتاحية'!$A$5:$C$121,3,0),0)</f>
        <v>0</v>
      </c>
      <c r="E37" s="105">
        <f>IFERROR(VLOOKUP(A37,'الأرصدة الافتتاحية'!$A$5:$D$121,4,0),0)</f>
        <v>0</v>
      </c>
      <c r="F37" s="106"/>
      <c r="G37" s="108"/>
      <c r="H37" s="107" t="str">
        <f t="shared" ref="H37:H68" si="3">IFERROR(IF(A37="","",D37+IFERROR(F37,0)),0)</f>
        <v/>
      </c>
      <c r="I37" s="107" t="str">
        <f t="shared" ref="I37:I68" si="4">IFERROR(IF(A37="","",E37+IFERROR(G37,0)),0)</f>
        <v/>
      </c>
      <c r="J37" s="107">
        <f t="shared" ref="J37:J68" si="5">IFERROR(H37-I37,0)</f>
        <v>0</v>
      </c>
      <c r="K37" s="158"/>
      <c r="L37" s="158"/>
      <c r="M37" s="165"/>
      <c r="N37" s="165"/>
      <c r="O37" s="158"/>
      <c r="P37" s="158"/>
      <c r="Q37" s="158"/>
      <c r="R37" s="162"/>
      <c r="S37" s="162"/>
    </row>
    <row r="38" spans="1:19" ht="18" customHeight="1">
      <c r="A38" s="103"/>
      <c r="B38" s="104" t="str">
        <f>IFERROR(VLOOKUP(A38,'دليل الحسابات'!$A$5:$B$141,2,0),"")</f>
        <v/>
      </c>
      <c r="C38" s="104" t="str">
        <f>IFERROR(VLOOKUP(A38,'دليل الحسابات'!$A$5:$C$141,3,0),"")</f>
        <v/>
      </c>
      <c r="D38" s="105">
        <f>IFERROR(VLOOKUP(A38,'الأرصدة الافتتاحية'!$A$5:$C$121,3,0),0)</f>
        <v>0</v>
      </c>
      <c r="E38" s="105">
        <f>IFERROR(VLOOKUP(A38,'الأرصدة الافتتاحية'!$A$5:$D$121,4,0),0)</f>
        <v>0</v>
      </c>
      <c r="F38" s="106"/>
      <c r="G38" s="106"/>
      <c r="H38" s="107" t="str">
        <f t="shared" si="3"/>
        <v/>
      </c>
      <c r="I38" s="107" t="str">
        <f t="shared" si="4"/>
        <v/>
      </c>
      <c r="J38" s="107">
        <f t="shared" si="5"/>
        <v>0</v>
      </c>
      <c r="K38" s="158"/>
      <c r="L38" s="158"/>
      <c r="M38" s="158"/>
      <c r="N38" s="158"/>
      <c r="O38" s="158"/>
      <c r="P38" s="158"/>
      <c r="Q38" s="158"/>
      <c r="R38" s="162"/>
      <c r="S38" s="162"/>
    </row>
    <row r="39" spans="1:19" ht="18" customHeight="1">
      <c r="A39" s="103"/>
      <c r="B39" s="104" t="str">
        <f>IFERROR(VLOOKUP(A39,'دليل الحسابات'!$A$5:$B$141,2,0),"")</f>
        <v/>
      </c>
      <c r="C39" s="104" t="str">
        <f>IFERROR(VLOOKUP(A39,'دليل الحسابات'!$A$5:$C$141,3,0),"")</f>
        <v/>
      </c>
      <c r="D39" s="105">
        <f>IFERROR(VLOOKUP(A39,'الأرصدة الافتتاحية'!$A$5:$C$121,3,0),0)</f>
        <v>0</v>
      </c>
      <c r="E39" s="105">
        <f>IFERROR(VLOOKUP(A39,'الأرصدة الافتتاحية'!$A$5:$D$121,4,0),0)</f>
        <v>0</v>
      </c>
      <c r="F39" s="106"/>
      <c r="G39" s="106"/>
      <c r="H39" s="107" t="str">
        <f t="shared" si="3"/>
        <v/>
      </c>
      <c r="I39" s="107" t="str">
        <f t="shared" si="4"/>
        <v/>
      </c>
      <c r="J39" s="107">
        <f t="shared" si="5"/>
        <v>0</v>
      </c>
      <c r="K39" s="158"/>
      <c r="L39" s="158"/>
      <c r="M39" s="158"/>
      <c r="N39" s="158"/>
      <c r="O39" s="158"/>
      <c r="P39" s="158"/>
      <c r="Q39" s="158"/>
      <c r="R39" s="162"/>
      <c r="S39" s="162"/>
    </row>
    <row r="40" spans="1:19" ht="18" customHeight="1">
      <c r="A40" s="103"/>
      <c r="B40" s="104" t="str">
        <f>IFERROR(VLOOKUP(A40,'دليل الحسابات'!$A$5:$B$141,2,0),"")</f>
        <v/>
      </c>
      <c r="C40" s="104" t="str">
        <f>IFERROR(VLOOKUP(A40,'دليل الحسابات'!$A$5:$C$141,3,0),"")</f>
        <v/>
      </c>
      <c r="D40" s="105">
        <f>IFERROR(VLOOKUP(A40,'الأرصدة الافتتاحية'!$A$5:$C$121,3,0),0)</f>
        <v>0</v>
      </c>
      <c r="E40" s="105">
        <f>IFERROR(VLOOKUP(A40,'الأرصدة الافتتاحية'!$A$5:$D$121,4,0),0)</f>
        <v>0</v>
      </c>
      <c r="F40" s="106"/>
      <c r="G40" s="108"/>
      <c r="H40" s="107" t="str">
        <f t="shared" si="3"/>
        <v/>
      </c>
      <c r="I40" s="107" t="str">
        <f t="shared" si="4"/>
        <v/>
      </c>
      <c r="J40" s="107">
        <f t="shared" si="5"/>
        <v>0</v>
      </c>
      <c r="K40" s="158"/>
      <c r="L40" s="158"/>
      <c r="M40" s="158"/>
      <c r="N40" s="158"/>
      <c r="O40" s="158"/>
      <c r="P40" s="158"/>
      <c r="Q40" s="158"/>
      <c r="R40" s="162"/>
      <c r="S40" s="162"/>
    </row>
    <row r="41" spans="1:19" ht="18" customHeight="1">
      <c r="A41" s="103"/>
      <c r="B41" s="104" t="str">
        <f>IFERROR(VLOOKUP(A41,'دليل الحسابات'!$A$5:$B$141,2,0),"")</f>
        <v/>
      </c>
      <c r="C41" s="104" t="str">
        <f>IFERROR(VLOOKUP(A41,'دليل الحسابات'!$A$5:$C$141,3,0),"")</f>
        <v/>
      </c>
      <c r="D41" s="105">
        <f>IFERROR(VLOOKUP(A41,'الأرصدة الافتتاحية'!$A$5:$C$121,3,0),0)</f>
        <v>0</v>
      </c>
      <c r="E41" s="105">
        <f>IFERROR(VLOOKUP(A41,'الأرصدة الافتتاحية'!$A$5:$D$121,4,0),0)</f>
        <v>0</v>
      </c>
      <c r="F41" s="108"/>
      <c r="G41" s="108"/>
      <c r="H41" s="107" t="str">
        <f t="shared" si="3"/>
        <v/>
      </c>
      <c r="I41" s="107" t="str">
        <f t="shared" si="4"/>
        <v/>
      </c>
      <c r="J41" s="107">
        <f t="shared" si="5"/>
        <v>0</v>
      </c>
      <c r="K41" s="158"/>
      <c r="L41" s="158"/>
      <c r="M41" s="158"/>
      <c r="N41" s="158"/>
      <c r="O41" s="158"/>
      <c r="P41" s="158"/>
      <c r="Q41" s="158"/>
      <c r="R41" s="162"/>
      <c r="S41" s="162"/>
    </row>
    <row r="42" spans="1:19" ht="18" customHeight="1">
      <c r="A42" s="103"/>
      <c r="B42" s="104" t="str">
        <f>IFERROR(VLOOKUP(A42,'دليل الحسابات'!$A$5:$B$141,2,0),"")</f>
        <v/>
      </c>
      <c r="C42" s="104" t="str">
        <f>IFERROR(VLOOKUP(A42,'دليل الحسابات'!$A$5:$C$141,3,0),"")</f>
        <v/>
      </c>
      <c r="D42" s="105">
        <f>IFERROR(VLOOKUP(A42,'الأرصدة الافتتاحية'!$A$5:$C$121,3,0),0)</f>
        <v>0</v>
      </c>
      <c r="E42" s="105">
        <f>IFERROR(VLOOKUP(A42,'الأرصدة الافتتاحية'!$A$5:$D$121,4,0),0)</f>
        <v>0</v>
      </c>
      <c r="F42" s="106"/>
      <c r="G42" s="106"/>
      <c r="H42" s="107" t="str">
        <f t="shared" si="3"/>
        <v/>
      </c>
      <c r="I42" s="107" t="str">
        <f t="shared" si="4"/>
        <v/>
      </c>
      <c r="J42" s="107">
        <f t="shared" si="5"/>
        <v>0</v>
      </c>
      <c r="K42" s="158"/>
      <c r="L42" s="158"/>
      <c r="M42" s="158"/>
      <c r="N42" s="158"/>
      <c r="O42" s="158"/>
      <c r="P42" s="158"/>
      <c r="Q42" s="158"/>
      <c r="R42" s="162"/>
      <c r="S42" s="162"/>
    </row>
    <row r="43" spans="1:19" ht="18" customHeight="1">
      <c r="A43" s="103"/>
      <c r="B43" s="104" t="str">
        <f>IFERROR(VLOOKUP(A43,'دليل الحسابات'!$A$5:$B$141,2,0),"")</f>
        <v/>
      </c>
      <c r="C43" s="104" t="str">
        <f>IFERROR(VLOOKUP(A43,'دليل الحسابات'!$A$5:$C$141,3,0),"")</f>
        <v/>
      </c>
      <c r="D43" s="105">
        <f>IFERROR(VLOOKUP(A43,'الأرصدة الافتتاحية'!$A$5:$C$121,3,0),0)</f>
        <v>0</v>
      </c>
      <c r="E43" s="105">
        <f>IFERROR(VLOOKUP(A43,'الأرصدة الافتتاحية'!$A$5:$D$121,4,0),0)</f>
        <v>0</v>
      </c>
      <c r="F43" s="106"/>
      <c r="G43" s="106"/>
      <c r="H43" s="107" t="str">
        <f t="shared" si="3"/>
        <v/>
      </c>
      <c r="I43" s="107" t="str">
        <f t="shared" si="4"/>
        <v/>
      </c>
      <c r="J43" s="107">
        <f t="shared" si="5"/>
        <v>0</v>
      </c>
      <c r="K43" s="158"/>
      <c r="L43" s="158"/>
      <c r="M43" s="158"/>
      <c r="N43" s="158"/>
      <c r="O43" s="158"/>
      <c r="P43" s="158"/>
      <c r="Q43" s="158"/>
      <c r="R43" s="162"/>
      <c r="S43" s="162"/>
    </row>
    <row r="44" spans="1:19" ht="18" customHeight="1">
      <c r="A44" s="103"/>
      <c r="B44" s="104" t="str">
        <f>IFERROR(VLOOKUP(A44,'دليل الحسابات'!$A$5:$B$141,2,0),"")</f>
        <v/>
      </c>
      <c r="C44" s="104" t="str">
        <f>IFERROR(VLOOKUP(A44,'دليل الحسابات'!$A$5:$C$141,3,0),"")</f>
        <v/>
      </c>
      <c r="D44" s="105">
        <f>IFERROR(VLOOKUP(A44,'الأرصدة الافتتاحية'!$A$5:$C$121,3,0),0)</f>
        <v>0</v>
      </c>
      <c r="E44" s="105">
        <f>IFERROR(VLOOKUP(A44,'الأرصدة الافتتاحية'!$A$5:$D$121,4,0),0)</f>
        <v>0</v>
      </c>
      <c r="F44" s="106"/>
      <c r="G44" s="106"/>
      <c r="H44" s="107" t="str">
        <f t="shared" si="3"/>
        <v/>
      </c>
      <c r="I44" s="107" t="str">
        <f t="shared" si="4"/>
        <v/>
      </c>
      <c r="J44" s="107">
        <f t="shared" si="5"/>
        <v>0</v>
      </c>
      <c r="K44" s="158"/>
      <c r="L44" s="158"/>
      <c r="M44" s="158"/>
      <c r="N44" s="158"/>
      <c r="O44" s="158"/>
      <c r="P44" s="158"/>
      <c r="Q44" s="158"/>
      <c r="R44" s="162"/>
      <c r="S44" s="162"/>
    </row>
    <row r="45" spans="1:19" ht="18" customHeight="1">
      <c r="A45" s="103"/>
      <c r="B45" s="104" t="str">
        <f>IFERROR(VLOOKUP(A45,'دليل الحسابات'!$A$5:$B$141,2,0),"")</f>
        <v/>
      </c>
      <c r="C45" s="104" t="str">
        <f>IFERROR(VLOOKUP(A45,'دليل الحسابات'!$A$5:$C$141,3,0),"")</f>
        <v/>
      </c>
      <c r="D45" s="105">
        <f>IFERROR(VLOOKUP(A45,'الأرصدة الافتتاحية'!$A$5:$C$121,3,0),0)</f>
        <v>0</v>
      </c>
      <c r="E45" s="105">
        <f>IFERROR(VLOOKUP(A45,'الأرصدة الافتتاحية'!$A$5:$D$121,4,0),0)</f>
        <v>0</v>
      </c>
      <c r="F45" s="106"/>
      <c r="G45" s="108"/>
      <c r="H45" s="107" t="str">
        <f t="shared" si="3"/>
        <v/>
      </c>
      <c r="I45" s="107" t="str">
        <f t="shared" si="4"/>
        <v/>
      </c>
      <c r="J45" s="107">
        <f t="shared" si="5"/>
        <v>0</v>
      </c>
      <c r="K45" s="158"/>
      <c r="L45" s="158"/>
      <c r="M45" s="158"/>
      <c r="N45" s="158"/>
      <c r="O45" s="158"/>
      <c r="P45" s="158"/>
      <c r="Q45" s="158"/>
      <c r="R45" s="162"/>
      <c r="S45" s="162"/>
    </row>
    <row r="46" spans="1:19" ht="18" customHeight="1">
      <c r="A46" s="103"/>
      <c r="B46" s="104" t="str">
        <f>IFERROR(VLOOKUP(A46,'دليل الحسابات'!$A$5:$B$141,2,0),"")</f>
        <v/>
      </c>
      <c r="C46" s="104" t="str">
        <f>IFERROR(VLOOKUP(A46,'دليل الحسابات'!$A$5:$C$141,3,0),"")</f>
        <v/>
      </c>
      <c r="D46" s="105">
        <f>IFERROR(VLOOKUP(A46,'الأرصدة الافتتاحية'!$A$5:$C$121,3,0),0)</f>
        <v>0</v>
      </c>
      <c r="E46" s="105">
        <f>IFERROR(VLOOKUP(A46,'الأرصدة الافتتاحية'!$A$5:$D$121,4,0),0)</f>
        <v>0</v>
      </c>
      <c r="F46" s="106"/>
      <c r="G46" s="106"/>
      <c r="H46" s="107" t="str">
        <f t="shared" si="3"/>
        <v/>
      </c>
      <c r="I46" s="107" t="str">
        <f t="shared" si="4"/>
        <v/>
      </c>
      <c r="J46" s="107">
        <f t="shared" si="5"/>
        <v>0</v>
      </c>
      <c r="K46" s="158"/>
      <c r="L46" s="158"/>
      <c r="M46" s="158"/>
      <c r="N46" s="158"/>
      <c r="O46" s="158"/>
      <c r="P46" s="158"/>
      <c r="Q46" s="158"/>
      <c r="R46" s="162"/>
      <c r="S46" s="162"/>
    </row>
    <row r="47" spans="1:19" ht="18" customHeight="1">
      <c r="A47" s="103"/>
      <c r="B47" s="104" t="str">
        <f>IFERROR(VLOOKUP(A47,'دليل الحسابات'!$A$5:$B$141,2,0),"")</f>
        <v/>
      </c>
      <c r="C47" s="104" t="str">
        <f>IFERROR(VLOOKUP(A47,'دليل الحسابات'!$A$5:$C$141,3,0),"")</f>
        <v/>
      </c>
      <c r="D47" s="105">
        <f>IFERROR(VLOOKUP(A47,'الأرصدة الافتتاحية'!$A$5:$C$121,3,0),0)</f>
        <v>0</v>
      </c>
      <c r="E47" s="105">
        <f>IFERROR(VLOOKUP(A47,'الأرصدة الافتتاحية'!$A$5:$D$121,4,0),0)</f>
        <v>0</v>
      </c>
      <c r="F47" s="106"/>
      <c r="G47" s="106"/>
      <c r="H47" s="107" t="str">
        <f t="shared" si="3"/>
        <v/>
      </c>
      <c r="I47" s="107" t="str">
        <f t="shared" si="4"/>
        <v/>
      </c>
      <c r="J47" s="107">
        <f t="shared" si="5"/>
        <v>0</v>
      </c>
      <c r="K47" s="158"/>
      <c r="L47" s="158"/>
      <c r="M47" s="158"/>
      <c r="N47" s="158"/>
      <c r="O47" s="158"/>
      <c r="P47" s="158"/>
      <c r="Q47" s="158"/>
      <c r="R47" s="162"/>
      <c r="S47" s="162"/>
    </row>
    <row r="48" spans="1:19" ht="18" customHeight="1">
      <c r="A48" s="103"/>
      <c r="B48" s="104" t="str">
        <f>IFERROR(VLOOKUP(A48,'دليل الحسابات'!$A$5:$B$141,2,0),"")</f>
        <v/>
      </c>
      <c r="C48" s="104" t="str">
        <f>IFERROR(VLOOKUP(A48,'دليل الحسابات'!$A$5:$C$141,3,0),"")</f>
        <v/>
      </c>
      <c r="D48" s="105">
        <f>IFERROR(VLOOKUP(A48,'الأرصدة الافتتاحية'!$A$5:$C$121,3,0),0)</f>
        <v>0</v>
      </c>
      <c r="E48" s="105">
        <f>IFERROR(VLOOKUP(A48,'الأرصدة الافتتاحية'!$A$5:$D$121,4,0),0)</f>
        <v>0</v>
      </c>
      <c r="F48" s="106"/>
      <c r="G48" s="108"/>
      <c r="H48" s="107" t="str">
        <f t="shared" si="3"/>
        <v/>
      </c>
      <c r="I48" s="107" t="str">
        <f t="shared" si="4"/>
        <v/>
      </c>
      <c r="J48" s="107">
        <f t="shared" si="5"/>
        <v>0</v>
      </c>
      <c r="K48" s="158"/>
      <c r="L48" s="158"/>
      <c r="M48" s="158"/>
      <c r="N48" s="158"/>
      <c r="O48" s="158"/>
      <c r="P48" s="158"/>
      <c r="Q48" s="158"/>
      <c r="R48" s="162"/>
      <c r="S48" s="162"/>
    </row>
    <row r="49" spans="1:19" ht="18" customHeight="1">
      <c r="A49" s="103"/>
      <c r="B49" s="104" t="str">
        <f>IFERROR(VLOOKUP(A49,'دليل الحسابات'!$A$5:$B$141,2,0),"")</f>
        <v/>
      </c>
      <c r="C49" s="104" t="str">
        <f>IFERROR(VLOOKUP(A49,'دليل الحسابات'!$A$5:$C$141,3,0),"")</f>
        <v/>
      </c>
      <c r="D49" s="105">
        <f>IFERROR(VLOOKUP(A49,'الأرصدة الافتتاحية'!$A$5:$C$121,3,0),0)</f>
        <v>0</v>
      </c>
      <c r="E49" s="105">
        <f>IFERROR(VLOOKUP(A49,'الأرصدة الافتتاحية'!$A$5:$D$121,4,0),0)</f>
        <v>0</v>
      </c>
      <c r="F49" s="106"/>
      <c r="G49" s="106"/>
      <c r="H49" s="107" t="str">
        <f t="shared" si="3"/>
        <v/>
      </c>
      <c r="I49" s="107" t="str">
        <f t="shared" si="4"/>
        <v/>
      </c>
      <c r="J49" s="107">
        <f t="shared" si="5"/>
        <v>0</v>
      </c>
      <c r="K49" s="158"/>
      <c r="L49" s="158"/>
      <c r="M49" s="158"/>
      <c r="N49" s="158"/>
      <c r="O49" s="158"/>
      <c r="P49" s="158"/>
      <c r="Q49" s="158"/>
      <c r="R49" s="162"/>
      <c r="S49" s="162"/>
    </row>
    <row r="50" spans="1:19" ht="18" customHeight="1">
      <c r="A50" s="103"/>
      <c r="B50" s="104" t="str">
        <f>IFERROR(VLOOKUP(A50,'دليل الحسابات'!$A$5:$B$141,2,0),"")</f>
        <v/>
      </c>
      <c r="C50" s="104" t="str">
        <f>IFERROR(VLOOKUP(A50,'دليل الحسابات'!$A$5:$C$141,3,0),"")</f>
        <v/>
      </c>
      <c r="D50" s="105">
        <f>IFERROR(VLOOKUP(A50,'الأرصدة الافتتاحية'!$A$5:$C$121,3,0),0)</f>
        <v>0</v>
      </c>
      <c r="E50" s="105">
        <f>IFERROR(VLOOKUP(A50,'الأرصدة الافتتاحية'!$A$5:$D$121,4,0),0)</f>
        <v>0</v>
      </c>
      <c r="F50" s="106"/>
      <c r="G50" s="106"/>
      <c r="H50" s="107" t="str">
        <f t="shared" si="3"/>
        <v/>
      </c>
      <c r="I50" s="107" t="str">
        <f t="shared" si="4"/>
        <v/>
      </c>
      <c r="J50" s="107">
        <f t="shared" si="5"/>
        <v>0</v>
      </c>
      <c r="K50" s="158"/>
      <c r="L50" s="158"/>
      <c r="M50" s="158"/>
      <c r="N50" s="158"/>
      <c r="O50" s="158"/>
      <c r="P50" s="158"/>
      <c r="Q50" s="158"/>
      <c r="R50" s="162"/>
      <c r="S50" s="162"/>
    </row>
    <row r="51" spans="1:19" ht="18" customHeight="1">
      <c r="A51" s="103"/>
      <c r="B51" s="112" t="str">
        <f>IFERROR(VLOOKUP(A51,'دليل الحسابات'!$A$5:$B$141,2,0),"")</f>
        <v/>
      </c>
      <c r="C51" s="112" t="str">
        <f>IFERROR(VLOOKUP(A51,'دليل الحسابات'!$A$5:$C$141,3,0),"")</f>
        <v/>
      </c>
      <c r="D51" s="113">
        <f>IFERROR(VLOOKUP(A51,'الأرصدة الافتتاحية'!$A$5:$C$121,3,0),0)</f>
        <v>0</v>
      </c>
      <c r="E51" s="113">
        <f>IFERROR(VLOOKUP(A51,'الأرصدة الافتتاحية'!$A$5:$D$121,4,0),0)</f>
        <v>0</v>
      </c>
      <c r="F51" s="114"/>
      <c r="G51" s="114"/>
      <c r="H51" s="115" t="str">
        <f t="shared" si="3"/>
        <v/>
      </c>
      <c r="I51" s="115" t="str">
        <f t="shared" si="4"/>
        <v/>
      </c>
      <c r="J51" s="115">
        <f t="shared" si="5"/>
        <v>0</v>
      </c>
      <c r="K51" s="166"/>
      <c r="L51" s="166"/>
      <c r="M51" s="166"/>
      <c r="N51" s="166"/>
      <c r="O51" s="158"/>
      <c r="P51" s="158"/>
      <c r="Q51" s="158"/>
      <c r="R51" s="162"/>
      <c r="S51" s="162"/>
    </row>
    <row r="52" spans="1:19" ht="18" customHeight="1">
      <c r="A52" s="103"/>
      <c r="B52" s="104" t="str">
        <f>IFERROR(VLOOKUP(A52,'دليل الحسابات'!$A$5:$B$141,2,0),"")</f>
        <v/>
      </c>
      <c r="C52" s="104" t="str">
        <f>IFERROR(VLOOKUP(A52,'دليل الحسابات'!$A$5:$C$141,3,0),"")</f>
        <v/>
      </c>
      <c r="D52" s="105">
        <f>IFERROR(VLOOKUP(A52,'الأرصدة الافتتاحية'!$A$5:$C$121,3,0),0)</f>
        <v>0</v>
      </c>
      <c r="E52" s="105">
        <f>IFERROR(VLOOKUP(A52,'الأرصدة الافتتاحية'!$A$5:$D$121,4,0),0)</f>
        <v>0</v>
      </c>
      <c r="F52" s="106"/>
      <c r="G52" s="106"/>
      <c r="H52" s="107" t="str">
        <f t="shared" si="3"/>
        <v/>
      </c>
      <c r="I52" s="107" t="str">
        <f t="shared" si="4"/>
        <v/>
      </c>
      <c r="J52" s="107">
        <f t="shared" si="5"/>
        <v>0</v>
      </c>
      <c r="K52" s="158"/>
      <c r="L52" s="158"/>
      <c r="M52" s="158"/>
      <c r="N52" s="158"/>
      <c r="O52" s="158"/>
      <c r="P52" s="158"/>
      <c r="Q52" s="158"/>
      <c r="R52" s="162"/>
      <c r="S52" s="162"/>
    </row>
    <row r="53" spans="1:19" ht="18" customHeight="1">
      <c r="A53" s="103"/>
      <c r="B53" s="104" t="str">
        <f>IFERROR(VLOOKUP(A53,'دليل الحسابات'!$A$5:$B$141,2,0),"")</f>
        <v/>
      </c>
      <c r="C53" s="104" t="str">
        <f>IFERROR(VLOOKUP(A53,'دليل الحسابات'!$A$5:$C$141,3,0),"")</f>
        <v/>
      </c>
      <c r="D53" s="105">
        <f>IFERROR(VLOOKUP(A53,'الأرصدة الافتتاحية'!$A$5:$C$121,3,0),0)</f>
        <v>0</v>
      </c>
      <c r="E53" s="105">
        <f>IFERROR(VLOOKUP(A53,'الأرصدة الافتتاحية'!$A$5:$D$121,4,0),0)</f>
        <v>0</v>
      </c>
      <c r="F53" s="106"/>
      <c r="G53" s="106"/>
      <c r="H53" s="107" t="str">
        <f t="shared" si="3"/>
        <v/>
      </c>
      <c r="I53" s="107" t="str">
        <f t="shared" si="4"/>
        <v/>
      </c>
      <c r="J53" s="107">
        <f t="shared" si="5"/>
        <v>0</v>
      </c>
      <c r="K53" s="158"/>
      <c r="L53" s="158"/>
      <c r="M53" s="158"/>
      <c r="N53" s="158"/>
      <c r="O53" s="158"/>
      <c r="P53" s="158"/>
      <c r="Q53" s="158"/>
      <c r="R53" s="162"/>
      <c r="S53" s="162"/>
    </row>
    <row r="54" spans="1:19" ht="18" customHeight="1">
      <c r="A54" s="103"/>
      <c r="B54" s="104" t="str">
        <f>IFERROR(VLOOKUP(A54,'دليل الحسابات'!$A$5:$B$141,2,0),"")</f>
        <v/>
      </c>
      <c r="C54" s="104" t="str">
        <f>IFERROR(VLOOKUP(A54,'دليل الحسابات'!$A$5:$C$141,3,0),"")</f>
        <v/>
      </c>
      <c r="D54" s="105">
        <f>IFERROR(VLOOKUP(A54,'الأرصدة الافتتاحية'!$A$5:$C$121,3,0),0)</f>
        <v>0</v>
      </c>
      <c r="E54" s="105">
        <f>IFERROR(VLOOKUP(A54,'الأرصدة الافتتاحية'!$A$5:$D$121,4,0),0)</f>
        <v>0</v>
      </c>
      <c r="F54" s="106"/>
      <c r="G54" s="106"/>
      <c r="H54" s="107" t="str">
        <f t="shared" si="3"/>
        <v/>
      </c>
      <c r="I54" s="107" t="str">
        <f t="shared" si="4"/>
        <v/>
      </c>
      <c r="J54" s="107">
        <f t="shared" si="5"/>
        <v>0</v>
      </c>
      <c r="K54" s="158"/>
      <c r="L54" s="158"/>
      <c r="M54" s="158"/>
      <c r="N54" s="158"/>
      <c r="O54" s="158"/>
      <c r="P54" s="158"/>
      <c r="Q54" s="158"/>
      <c r="R54" s="162"/>
      <c r="S54" s="162"/>
    </row>
    <row r="55" spans="1:19" ht="18" customHeight="1">
      <c r="A55" s="103"/>
      <c r="B55" s="104" t="str">
        <f>IFERROR(VLOOKUP(A55,'دليل الحسابات'!$A$5:$B$141,2,0),"")</f>
        <v/>
      </c>
      <c r="C55" s="104" t="str">
        <f>IFERROR(VLOOKUP(A55,'دليل الحسابات'!$A$5:$C$141,3,0),"")</f>
        <v/>
      </c>
      <c r="D55" s="105">
        <f>IFERROR(VLOOKUP(A55,'الأرصدة الافتتاحية'!$A$5:$C$121,3,0),0)</f>
        <v>0</v>
      </c>
      <c r="E55" s="105">
        <f>IFERROR(VLOOKUP(A55,'الأرصدة الافتتاحية'!$A$5:$D$121,4,0),0)</f>
        <v>0</v>
      </c>
      <c r="F55" s="106"/>
      <c r="G55" s="106"/>
      <c r="H55" s="107" t="str">
        <f t="shared" si="3"/>
        <v/>
      </c>
      <c r="I55" s="107" t="str">
        <f t="shared" si="4"/>
        <v/>
      </c>
      <c r="J55" s="107">
        <f t="shared" si="5"/>
        <v>0</v>
      </c>
      <c r="K55" s="158"/>
      <c r="L55" s="158"/>
      <c r="M55" s="158"/>
      <c r="N55" s="158"/>
      <c r="O55" s="158"/>
      <c r="P55" s="158"/>
      <c r="Q55" s="158"/>
      <c r="R55" s="162"/>
      <c r="S55" s="162"/>
    </row>
    <row r="56" spans="1:19" ht="18" customHeight="1">
      <c r="A56" s="103"/>
      <c r="B56" s="104" t="str">
        <f>IFERROR(VLOOKUP(A56,'دليل الحسابات'!$A$5:$B$141,2,0),"")</f>
        <v/>
      </c>
      <c r="C56" s="104" t="str">
        <f>IFERROR(VLOOKUP(A56,'دليل الحسابات'!$A$5:$C$141,3,0),"")</f>
        <v/>
      </c>
      <c r="D56" s="105">
        <f>IFERROR(VLOOKUP(A56,'الأرصدة الافتتاحية'!$A$5:$C$121,3,0),0)</f>
        <v>0</v>
      </c>
      <c r="E56" s="105">
        <f>IFERROR(VLOOKUP(A56,'الأرصدة الافتتاحية'!$A$5:$D$121,4,0),0)</f>
        <v>0</v>
      </c>
      <c r="F56" s="106"/>
      <c r="G56" s="106"/>
      <c r="H56" s="107" t="str">
        <f t="shared" si="3"/>
        <v/>
      </c>
      <c r="I56" s="107" t="str">
        <f t="shared" si="4"/>
        <v/>
      </c>
      <c r="J56" s="107">
        <f t="shared" si="5"/>
        <v>0</v>
      </c>
      <c r="K56" s="158"/>
      <c r="L56" s="158"/>
      <c r="M56" s="158"/>
      <c r="N56" s="158"/>
      <c r="O56" s="158"/>
      <c r="P56" s="158"/>
      <c r="Q56" s="158"/>
      <c r="R56" s="162"/>
      <c r="S56" s="162"/>
    </row>
    <row r="57" spans="1:19" ht="18" customHeight="1">
      <c r="A57" s="103"/>
      <c r="B57" s="104" t="str">
        <f>IFERROR(VLOOKUP(A57,'دليل الحسابات'!$A$5:$B$141,2,0),"")</f>
        <v/>
      </c>
      <c r="C57" s="104" t="str">
        <f>IFERROR(VLOOKUP(A57,'دليل الحسابات'!$A$5:$C$141,3,0),"")</f>
        <v/>
      </c>
      <c r="D57" s="105">
        <f>IFERROR(VLOOKUP(A57,'الأرصدة الافتتاحية'!$A$5:$C$121,3,0),0)</f>
        <v>0</v>
      </c>
      <c r="E57" s="105">
        <f>IFERROR(VLOOKUP(A57,'الأرصدة الافتتاحية'!$A$5:$D$121,4,0),0)</f>
        <v>0</v>
      </c>
      <c r="F57" s="106"/>
      <c r="G57" s="106"/>
      <c r="H57" s="107" t="str">
        <f t="shared" si="3"/>
        <v/>
      </c>
      <c r="I57" s="107" t="str">
        <f t="shared" si="4"/>
        <v/>
      </c>
      <c r="J57" s="107">
        <f t="shared" si="5"/>
        <v>0</v>
      </c>
      <c r="K57" s="158"/>
      <c r="L57" s="158"/>
      <c r="M57" s="158"/>
      <c r="N57" s="158"/>
      <c r="O57" s="158"/>
      <c r="P57" s="158"/>
      <c r="Q57" s="158"/>
      <c r="R57" s="162"/>
      <c r="S57" s="162"/>
    </row>
    <row r="58" spans="1:19" ht="18" customHeight="1">
      <c r="A58" s="103"/>
      <c r="B58" s="104" t="str">
        <f>IFERROR(VLOOKUP(A58,'دليل الحسابات'!$A$5:$B$141,2,0),"")</f>
        <v/>
      </c>
      <c r="C58" s="104" t="str">
        <f>IFERROR(VLOOKUP(A58,'دليل الحسابات'!$A$5:$C$141,3,0),"")</f>
        <v/>
      </c>
      <c r="D58" s="105">
        <f>IFERROR(VLOOKUP(A58,'الأرصدة الافتتاحية'!$A$5:$C$121,3,0),0)</f>
        <v>0</v>
      </c>
      <c r="E58" s="105">
        <f>IFERROR(VLOOKUP(A58,'الأرصدة الافتتاحية'!$A$5:$D$121,4,0),0)</f>
        <v>0</v>
      </c>
      <c r="F58" s="106"/>
      <c r="G58" s="106"/>
      <c r="H58" s="107" t="str">
        <f t="shared" si="3"/>
        <v/>
      </c>
      <c r="I58" s="107" t="str">
        <f t="shared" si="4"/>
        <v/>
      </c>
      <c r="J58" s="107">
        <f t="shared" si="5"/>
        <v>0</v>
      </c>
      <c r="K58" s="158"/>
      <c r="L58" s="158"/>
      <c r="M58" s="158"/>
      <c r="N58" s="158"/>
      <c r="O58" s="158"/>
      <c r="P58" s="158"/>
      <c r="Q58" s="158"/>
      <c r="R58" s="162"/>
      <c r="S58" s="162"/>
    </row>
    <row r="59" spans="1:19" ht="18" customHeight="1">
      <c r="A59" s="103"/>
      <c r="B59" s="104" t="str">
        <f>IFERROR(VLOOKUP(A59,'دليل الحسابات'!$A$5:$B$141,2,0),"")</f>
        <v/>
      </c>
      <c r="C59" s="104" t="str">
        <f>IFERROR(VLOOKUP(A59,'دليل الحسابات'!$A$5:$C$141,3,0),"")</f>
        <v/>
      </c>
      <c r="D59" s="105">
        <f>IFERROR(VLOOKUP(A59,'الأرصدة الافتتاحية'!$A$5:$C$121,3,0),0)</f>
        <v>0</v>
      </c>
      <c r="E59" s="105">
        <f>IFERROR(VLOOKUP(A59,'الأرصدة الافتتاحية'!$A$5:$D$121,4,0),0)</f>
        <v>0</v>
      </c>
      <c r="F59" s="106"/>
      <c r="G59" s="106"/>
      <c r="H59" s="107" t="str">
        <f t="shared" si="3"/>
        <v/>
      </c>
      <c r="I59" s="107" t="str">
        <f t="shared" si="4"/>
        <v/>
      </c>
      <c r="J59" s="107">
        <f t="shared" si="5"/>
        <v>0</v>
      </c>
      <c r="K59" s="158"/>
      <c r="L59" s="158"/>
      <c r="M59" s="158"/>
      <c r="N59" s="158"/>
      <c r="O59" s="158"/>
      <c r="P59" s="158"/>
      <c r="Q59" s="158"/>
      <c r="R59" s="162"/>
      <c r="S59" s="162"/>
    </row>
    <row r="60" spans="1:19" ht="18" customHeight="1">
      <c r="A60" s="103"/>
      <c r="B60" s="104" t="str">
        <f>IFERROR(VLOOKUP(A60,'دليل الحسابات'!$A$5:$B$141,2,0),"")</f>
        <v/>
      </c>
      <c r="C60" s="104" t="str">
        <f>IFERROR(VLOOKUP(A60,'دليل الحسابات'!$A$5:$C$141,3,0),"")</f>
        <v/>
      </c>
      <c r="D60" s="105">
        <f>IFERROR(VLOOKUP(A60,'الأرصدة الافتتاحية'!$A$5:$C$121,3,0),0)</f>
        <v>0</v>
      </c>
      <c r="E60" s="105">
        <f>IFERROR(VLOOKUP(A60,'الأرصدة الافتتاحية'!$A$5:$D$121,4,0),0)</f>
        <v>0</v>
      </c>
      <c r="F60" s="108"/>
      <c r="G60" s="106"/>
      <c r="H60" s="107" t="str">
        <f t="shared" si="3"/>
        <v/>
      </c>
      <c r="I60" s="107" t="str">
        <f t="shared" si="4"/>
        <v/>
      </c>
      <c r="J60" s="107">
        <f t="shared" si="5"/>
        <v>0</v>
      </c>
      <c r="K60" s="158"/>
      <c r="L60" s="158"/>
      <c r="M60" s="158"/>
      <c r="N60" s="158"/>
      <c r="O60" s="158"/>
      <c r="P60" s="158"/>
      <c r="Q60" s="158"/>
      <c r="R60" s="162"/>
      <c r="S60" s="162"/>
    </row>
    <row r="61" spans="1:19" ht="18" customHeight="1">
      <c r="A61" s="103"/>
      <c r="B61" s="104" t="str">
        <f>IFERROR(VLOOKUP(A61,'دليل الحسابات'!$A$5:$B$141,2,0),"")</f>
        <v/>
      </c>
      <c r="C61" s="104" t="str">
        <f>IFERROR(VLOOKUP(A61,'دليل الحسابات'!$A$5:$C$141,3,0),"")</f>
        <v/>
      </c>
      <c r="D61" s="105">
        <f>IFERROR(VLOOKUP(A61,'الأرصدة الافتتاحية'!$A$5:$C$121,3,0),0)</f>
        <v>0</v>
      </c>
      <c r="E61" s="105">
        <f>IFERROR(VLOOKUP(A61,'الأرصدة الافتتاحية'!$A$5:$D$121,4,0),0)</f>
        <v>0</v>
      </c>
      <c r="F61" s="106"/>
      <c r="G61" s="106"/>
      <c r="H61" s="107" t="str">
        <f t="shared" si="3"/>
        <v/>
      </c>
      <c r="I61" s="107" t="str">
        <f t="shared" si="4"/>
        <v/>
      </c>
      <c r="J61" s="107">
        <f t="shared" si="5"/>
        <v>0</v>
      </c>
      <c r="K61" s="158"/>
      <c r="L61" s="158"/>
      <c r="M61" s="158"/>
      <c r="N61" s="158"/>
      <c r="O61" s="158"/>
      <c r="P61" s="158"/>
      <c r="Q61" s="158"/>
      <c r="R61" s="162"/>
      <c r="S61" s="162"/>
    </row>
    <row r="62" spans="1:19" ht="18" customHeight="1">
      <c r="A62" s="103"/>
      <c r="B62" s="104" t="str">
        <f>IFERROR(VLOOKUP(A62,'دليل الحسابات'!$A$5:$B$141,2,0),"")</f>
        <v/>
      </c>
      <c r="C62" s="104" t="str">
        <f>IFERROR(VLOOKUP(A62,'دليل الحسابات'!$A$5:$C$141,3,0),"")</f>
        <v/>
      </c>
      <c r="D62" s="105">
        <f>IFERROR(VLOOKUP(A62,'الأرصدة الافتتاحية'!$A$5:$C$121,3,0),0)</f>
        <v>0</v>
      </c>
      <c r="E62" s="105">
        <f>IFERROR(VLOOKUP(A62,'الأرصدة الافتتاحية'!$A$5:$D$121,4,0),0)</f>
        <v>0</v>
      </c>
      <c r="F62" s="108"/>
      <c r="G62" s="106"/>
      <c r="H62" s="107" t="str">
        <f t="shared" si="3"/>
        <v/>
      </c>
      <c r="I62" s="107" t="str">
        <f t="shared" si="4"/>
        <v/>
      </c>
      <c r="J62" s="107">
        <f t="shared" si="5"/>
        <v>0</v>
      </c>
      <c r="K62" s="158"/>
      <c r="L62" s="158"/>
      <c r="M62" s="158"/>
      <c r="N62" s="158"/>
      <c r="O62" s="158"/>
      <c r="P62" s="158"/>
      <c r="Q62" s="158"/>
      <c r="R62" s="162"/>
      <c r="S62" s="162"/>
    </row>
    <row r="63" spans="1:19" ht="18" customHeight="1">
      <c r="A63" s="103"/>
      <c r="B63" s="104" t="str">
        <f>IFERROR(VLOOKUP(A63,'دليل الحسابات'!$A$5:$B$141,2,0),"")</f>
        <v/>
      </c>
      <c r="C63" s="104" t="str">
        <f>IFERROR(VLOOKUP(A63,'دليل الحسابات'!$A$5:$C$141,3,0),"")</f>
        <v/>
      </c>
      <c r="D63" s="105">
        <f>IFERROR(VLOOKUP(A63,'الأرصدة الافتتاحية'!$A$5:$C$121,3,0),0)</f>
        <v>0</v>
      </c>
      <c r="E63" s="105">
        <f>IFERROR(VLOOKUP(A63,'الأرصدة الافتتاحية'!$A$5:$D$121,4,0),0)</f>
        <v>0</v>
      </c>
      <c r="F63" s="106"/>
      <c r="G63" s="106"/>
      <c r="H63" s="107" t="str">
        <f t="shared" si="3"/>
        <v/>
      </c>
      <c r="I63" s="107" t="str">
        <f t="shared" si="4"/>
        <v/>
      </c>
      <c r="J63" s="107">
        <f t="shared" si="5"/>
        <v>0</v>
      </c>
      <c r="K63" s="158"/>
      <c r="L63" s="158"/>
      <c r="M63" s="158"/>
      <c r="N63" s="158"/>
      <c r="O63" s="158"/>
      <c r="P63" s="158"/>
      <c r="Q63" s="158"/>
      <c r="R63" s="162"/>
      <c r="S63" s="162"/>
    </row>
    <row r="64" spans="1:19" ht="18" customHeight="1">
      <c r="A64" s="103"/>
      <c r="B64" s="104" t="str">
        <f>IFERROR(VLOOKUP(A64,'دليل الحسابات'!$A$5:$B$141,2,0),"")</f>
        <v/>
      </c>
      <c r="C64" s="104" t="str">
        <f>IFERROR(VLOOKUP(A64,'دليل الحسابات'!$A$5:$C$141,3,0),"")</f>
        <v/>
      </c>
      <c r="D64" s="105">
        <f>IFERROR(VLOOKUP(A64,'الأرصدة الافتتاحية'!$A$5:$C$121,3,0),0)</f>
        <v>0</v>
      </c>
      <c r="E64" s="105">
        <f>IFERROR(VLOOKUP(A64,'الأرصدة الافتتاحية'!$A$5:$D$121,4,0),0)</f>
        <v>0</v>
      </c>
      <c r="F64" s="106"/>
      <c r="G64" s="106"/>
      <c r="H64" s="107" t="str">
        <f t="shared" si="3"/>
        <v/>
      </c>
      <c r="I64" s="107" t="str">
        <f t="shared" si="4"/>
        <v/>
      </c>
      <c r="J64" s="107">
        <f t="shared" si="5"/>
        <v>0</v>
      </c>
      <c r="K64" s="158"/>
      <c r="L64" s="158"/>
      <c r="M64" s="158"/>
      <c r="N64" s="158"/>
      <c r="O64" s="158"/>
      <c r="P64" s="158"/>
      <c r="Q64" s="158"/>
      <c r="R64" s="162"/>
      <c r="S64" s="162"/>
    </row>
    <row r="65" spans="1:19" ht="18" customHeight="1">
      <c r="A65" s="103"/>
      <c r="B65" s="104" t="str">
        <f>IFERROR(VLOOKUP(A65,'دليل الحسابات'!$A$5:$B$141,2,0),"")</f>
        <v/>
      </c>
      <c r="C65" s="104" t="str">
        <f>IFERROR(VLOOKUP(A65,'دليل الحسابات'!$A$5:$C$141,3,0),"")</f>
        <v/>
      </c>
      <c r="D65" s="105">
        <f>IFERROR(VLOOKUP(A65,'الأرصدة الافتتاحية'!$A$5:$C$121,3,0),0)</f>
        <v>0</v>
      </c>
      <c r="E65" s="105">
        <f>IFERROR(VLOOKUP(A65,'الأرصدة الافتتاحية'!$A$5:$D$121,4,0),0)</f>
        <v>0</v>
      </c>
      <c r="F65" s="106"/>
      <c r="G65" s="106"/>
      <c r="H65" s="107" t="str">
        <f t="shared" si="3"/>
        <v/>
      </c>
      <c r="I65" s="107" t="str">
        <f t="shared" si="4"/>
        <v/>
      </c>
      <c r="J65" s="107">
        <f t="shared" si="5"/>
        <v>0</v>
      </c>
      <c r="K65" s="158"/>
      <c r="L65" s="158"/>
      <c r="M65" s="158"/>
      <c r="N65" s="158"/>
      <c r="O65" s="158"/>
      <c r="P65" s="158"/>
      <c r="Q65" s="158"/>
      <c r="R65" s="162"/>
      <c r="S65" s="162"/>
    </row>
    <row r="66" spans="1:19" ht="18" customHeight="1">
      <c r="A66" s="103"/>
      <c r="B66" s="104" t="str">
        <f>IFERROR(VLOOKUP(A66,'دليل الحسابات'!$A$5:$B$141,2,0),"")</f>
        <v/>
      </c>
      <c r="C66" s="104" t="str">
        <f>IFERROR(VLOOKUP(A66,'دليل الحسابات'!$A$5:$C$141,3,0),"")</f>
        <v/>
      </c>
      <c r="D66" s="105">
        <f>IFERROR(VLOOKUP(A66,'الأرصدة الافتتاحية'!$A$5:$C$121,3,0),0)</f>
        <v>0</v>
      </c>
      <c r="E66" s="105">
        <f>IFERROR(VLOOKUP(A66,'الأرصدة الافتتاحية'!$A$5:$D$121,4,0),0)</f>
        <v>0</v>
      </c>
      <c r="F66" s="106"/>
      <c r="G66" s="106"/>
      <c r="H66" s="107" t="str">
        <f t="shared" si="3"/>
        <v/>
      </c>
      <c r="I66" s="107" t="str">
        <f t="shared" si="4"/>
        <v/>
      </c>
      <c r="J66" s="107">
        <f t="shared" si="5"/>
        <v>0</v>
      </c>
      <c r="K66" s="158"/>
      <c r="L66" s="158"/>
      <c r="M66" s="158"/>
      <c r="N66" s="158"/>
      <c r="O66" s="158"/>
      <c r="P66" s="158"/>
      <c r="Q66" s="158"/>
      <c r="R66" s="162"/>
      <c r="S66" s="162"/>
    </row>
    <row r="67" spans="1:19" ht="18" customHeight="1">
      <c r="A67" s="103"/>
      <c r="B67" s="104" t="str">
        <f>IFERROR(VLOOKUP(A67,'دليل الحسابات'!$A$5:$B$141,2,0),"")</f>
        <v/>
      </c>
      <c r="C67" s="104" t="str">
        <f>IFERROR(VLOOKUP(A67,'دليل الحسابات'!$A$5:$C$141,3,0),"")</f>
        <v/>
      </c>
      <c r="D67" s="105">
        <f>IFERROR(VLOOKUP(A67,'الأرصدة الافتتاحية'!$A$5:$C$121,3,0),0)</f>
        <v>0</v>
      </c>
      <c r="E67" s="105">
        <f>IFERROR(VLOOKUP(A67,'الأرصدة الافتتاحية'!$A$5:$D$121,4,0),0)</f>
        <v>0</v>
      </c>
      <c r="F67" s="106"/>
      <c r="G67" s="106"/>
      <c r="H67" s="107" t="str">
        <f t="shared" si="3"/>
        <v/>
      </c>
      <c r="I67" s="107" t="str">
        <f t="shared" si="4"/>
        <v/>
      </c>
      <c r="J67" s="107">
        <f t="shared" si="5"/>
        <v>0</v>
      </c>
      <c r="K67" s="158"/>
      <c r="L67" s="158"/>
      <c r="M67" s="158"/>
      <c r="N67" s="158"/>
      <c r="O67" s="158"/>
      <c r="P67" s="158"/>
      <c r="Q67" s="158"/>
      <c r="R67" s="162"/>
      <c r="S67" s="162"/>
    </row>
    <row r="68" spans="1:19" ht="18" customHeight="1">
      <c r="A68" s="103"/>
      <c r="B68" s="104" t="str">
        <f>IFERROR(VLOOKUP(A68,'دليل الحسابات'!$A$5:$B$141,2,0),"")</f>
        <v/>
      </c>
      <c r="C68" s="104" t="str">
        <f>IFERROR(VLOOKUP(A68,'دليل الحسابات'!$A$5:$C$141,3,0),"")</f>
        <v/>
      </c>
      <c r="D68" s="105">
        <f>IFERROR(VLOOKUP(A68,'الأرصدة الافتتاحية'!$A$5:$C$121,3,0),0)</f>
        <v>0</v>
      </c>
      <c r="E68" s="105">
        <f>IFERROR(VLOOKUP(A68,'الأرصدة الافتتاحية'!$A$5:$D$121,4,0),0)</f>
        <v>0</v>
      </c>
      <c r="F68" s="106"/>
      <c r="G68" s="106"/>
      <c r="H68" s="107" t="str">
        <f t="shared" si="3"/>
        <v/>
      </c>
      <c r="I68" s="107" t="str">
        <f t="shared" si="4"/>
        <v/>
      </c>
      <c r="J68" s="107">
        <f t="shared" si="5"/>
        <v>0</v>
      </c>
      <c r="K68" s="158"/>
      <c r="L68" s="161"/>
      <c r="M68" s="158"/>
      <c r="N68" s="158"/>
      <c r="O68" s="158"/>
      <c r="P68" s="158"/>
      <c r="Q68" s="158"/>
      <c r="R68" s="162"/>
      <c r="S68" s="162"/>
    </row>
    <row r="69" spans="1:19" ht="18" customHeight="1">
      <c r="A69" s="103"/>
      <c r="B69" s="104" t="str">
        <f>IFERROR(VLOOKUP(A69,'دليل الحسابات'!$A$5:$B$141,2,0),"")</f>
        <v/>
      </c>
      <c r="C69" s="104" t="str">
        <f>IFERROR(VLOOKUP(A69,'دليل الحسابات'!$A$5:$C$141,3,0),"")</f>
        <v/>
      </c>
      <c r="D69" s="105">
        <f>IFERROR(VLOOKUP(A69,'الأرصدة الافتتاحية'!$A$5:$C$121,3,0),0)</f>
        <v>0</v>
      </c>
      <c r="E69" s="105">
        <f>IFERROR(VLOOKUP(A69,'الأرصدة الافتتاحية'!$A$5:$D$121,4,0),0)</f>
        <v>0</v>
      </c>
      <c r="F69" s="106"/>
      <c r="G69" s="106"/>
      <c r="H69" s="107" t="str">
        <f t="shared" ref="H69:H100" si="6">IFERROR(IF(A69="","",D69+IFERROR(F69,0)),0)</f>
        <v/>
      </c>
      <c r="I69" s="107" t="str">
        <f t="shared" ref="I69:I100" si="7">IFERROR(IF(A69="","",E69+IFERROR(G69,0)),0)</f>
        <v/>
      </c>
      <c r="J69" s="107">
        <f t="shared" ref="J69:J100" si="8">IFERROR(H69-I69,0)</f>
        <v>0</v>
      </c>
      <c r="K69" s="158"/>
      <c r="L69" s="158"/>
      <c r="M69" s="158"/>
      <c r="N69" s="158"/>
      <c r="O69" s="158"/>
      <c r="P69" s="158"/>
      <c r="Q69" s="158"/>
      <c r="R69" s="162"/>
      <c r="S69" s="162"/>
    </row>
    <row r="70" spans="1:19" ht="18" customHeight="1">
      <c r="A70" s="103"/>
      <c r="B70" s="104" t="str">
        <f>IFERROR(VLOOKUP(A70,'دليل الحسابات'!$A$5:$B$141,2,0),"")</f>
        <v/>
      </c>
      <c r="C70" s="104" t="str">
        <f>IFERROR(VLOOKUP(A70,'دليل الحسابات'!$A$5:$C$141,3,0),"")</f>
        <v/>
      </c>
      <c r="D70" s="105">
        <f>IFERROR(VLOOKUP(A70,'الأرصدة الافتتاحية'!$A$5:$C$121,3,0),0)</f>
        <v>0</v>
      </c>
      <c r="E70" s="105">
        <f>IFERROR(VLOOKUP(A70,'الأرصدة الافتتاحية'!$A$5:$D$121,4,0),0)</f>
        <v>0</v>
      </c>
      <c r="F70" s="106"/>
      <c r="G70" s="106"/>
      <c r="H70" s="107" t="str">
        <f t="shared" si="6"/>
        <v/>
      </c>
      <c r="I70" s="107" t="str">
        <f t="shared" si="7"/>
        <v/>
      </c>
      <c r="J70" s="107">
        <f t="shared" si="8"/>
        <v>0</v>
      </c>
      <c r="K70" s="158"/>
      <c r="L70" s="158"/>
      <c r="M70" s="158"/>
      <c r="N70" s="158"/>
      <c r="O70" s="158"/>
      <c r="P70" s="158"/>
      <c r="Q70" s="158"/>
      <c r="R70" s="162"/>
      <c r="S70" s="162"/>
    </row>
    <row r="71" spans="1:19" ht="18" customHeight="1">
      <c r="A71" s="103"/>
      <c r="B71" s="104" t="str">
        <f>IFERROR(VLOOKUP(A71,'دليل الحسابات'!$A$5:$B$141,2,0),"")</f>
        <v/>
      </c>
      <c r="C71" s="104" t="str">
        <f>IFERROR(VLOOKUP(A71,'دليل الحسابات'!$A$5:$C$141,3,0),"")</f>
        <v/>
      </c>
      <c r="D71" s="105">
        <f>IFERROR(VLOOKUP(A71,'الأرصدة الافتتاحية'!$A$5:$C$121,3,0),0)</f>
        <v>0</v>
      </c>
      <c r="E71" s="105">
        <f>IFERROR(VLOOKUP(A71,'الأرصدة الافتتاحية'!$A$5:$D$121,4,0),0)</f>
        <v>0</v>
      </c>
      <c r="F71" s="108"/>
      <c r="G71" s="106"/>
      <c r="H71" s="107" t="str">
        <f t="shared" si="6"/>
        <v/>
      </c>
      <c r="I71" s="107" t="str">
        <f t="shared" si="7"/>
        <v/>
      </c>
      <c r="J71" s="107">
        <f t="shared" si="8"/>
        <v>0</v>
      </c>
      <c r="K71" s="158"/>
      <c r="L71" s="158"/>
      <c r="M71" s="158"/>
      <c r="N71" s="158"/>
      <c r="O71" s="158"/>
      <c r="P71" s="158"/>
      <c r="Q71" s="158"/>
      <c r="R71" s="162"/>
      <c r="S71" s="162"/>
    </row>
    <row r="72" spans="1:19" ht="18" customHeight="1">
      <c r="A72" s="103"/>
      <c r="B72" s="104" t="str">
        <f>IFERROR(VLOOKUP(A72,'دليل الحسابات'!$A$5:$B$141,2,0),"")</f>
        <v/>
      </c>
      <c r="C72" s="104" t="str">
        <f>IFERROR(VLOOKUP(A72,'دليل الحسابات'!$A$5:$C$141,3,0),"")</f>
        <v/>
      </c>
      <c r="D72" s="105">
        <f>IFERROR(VLOOKUP(A72,'الأرصدة الافتتاحية'!$A$5:$C$121,3,0),0)</f>
        <v>0</v>
      </c>
      <c r="E72" s="105">
        <f>IFERROR(VLOOKUP(A72,'الأرصدة الافتتاحية'!$A$5:$D$121,4,0),0)</f>
        <v>0</v>
      </c>
      <c r="F72" s="106"/>
      <c r="G72" s="106"/>
      <c r="H72" s="107" t="str">
        <f t="shared" si="6"/>
        <v/>
      </c>
      <c r="I72" s="107" t="str">
        <f t="shared" si="7"/>
        <v/>
      </c>
      <c r="J72" s="107">
        <f t="shared" si="8"/>
        <v>0</v>
      </c>
      <c r="K72" s="158"/>
      <c r="L72" s="158"/>
      <c r="M72" s="158"/>
      <c r="N72" s="158"/>
      <c r="O72" s="158"/>
      <c r="P72" s="158"/>
      <c r="Q72" s="158"/>
      <c r="R72" s="162"/>
      <c r="S72" s="162"/>
    </row>
    <row r="73" spans="1:19" ht="18" customHeight="1">
      <c r="A73" s="103"/>
      <c r="B73" s="104" t="str">
        <f>IFERROR(VLOOKUP(A73,'دليل الحسابات'!$A$5:$B$141,2,0),"")</f>
        <v/>
      </c>
      <c r="C73" s="104" t="str">
        <f>IFERROR(VLOOKUP(A73,'دليل الحسابات'!$A$5:$C$141,3,0),"")</f>
        <v/>
      </c>
      <c r="D73" s="105">
        <f>IFERROR(VLOOKUP(A73,'الأرصدة الافتتاحية'!$A$5:$C$121,3,0),0)</f>
        <v>0</v>
      </c>
      <c r="E73" s="105">
        <f>IFERROR(VLOOKUP(A73,'الأرصدة الافتتاحية'!$A$5:$D$121,4,0),0)</f>
        <v>0</v>
      </c>
      <c r="F73" s="106"/>
      <c r="G73" s="106"/>
      <c r="H73" s="107" t="str">
        <f t="shared" si="6"/>
        <v/>
      </c>
      <c r="I73" s="107" t="str">
        <f t="shared" si="7"/>
        <v/>
      </c>
      <c r="J73" s="107">
        <f t="shared" si="8"/>
        <v>0</v>
      </c>
      <c r="K73" s="158"/>
      <c r="L73" s="158"/>
      <c r="M73" s="158"/>
      <c r="N73" s="158"/>
      <c r="O73" s="158"/>
      <c r="P73" s="158"/>
      <c r="Q73" s="158"/>
      <c r="R73" s="162"/>
      <c r="S73" s="162"/>
    </row>
    <row r="74" spans="1:19" ht="18" customHeight="1">
      <c r="A74" s="103"/>
      <c r="B74" s="104" t="str">
        <f>IFERROR(VLOOKUP(A74,'دليل الحسابات'!$A$5:$B$141,2,0),"")</f>
        <v/>
      </c>
      <c r="C74" s="104" t="str">
        <f>IFERROR(VLOOKUP(A74,'دليل الحسابات'!$A$5:$C$141,3,0),"")</f>
        <v/>
      </c>
      <c r="D74" s="105">
        <f>IFERROR(VLOOKUP(A74,'الأرصدة الافتتاحية'!$A$5:$C$121,3,0),0)</f>
        <v>0</v>
      </c>
      <c r="E74" s="105">
        <f>IFERROR(VLOOKUP(A74,'الأرصدة الافتتاحية'!$A$5:$D$121,4,0),0)</f>
        <v>0</v>
      </c>
      <c r="F74" s="106"/>
      <c r="G74" s="106"/>
      <c r="H74" s="107" t="str">
        <f t="shared" si="6"/>
        <v/>
      </c>
      <c r="I74" s="107" t="str">
        <f t="shared" si="7"/>
        <v/>
      </c>
      <c r="J74" s="107">
        <f t="shared" si="8"/>
        <v>0</v>
      </c>
      <c r="K74" s="158"/>
      <c r="L74" s="158"/>
      <c r="M74" s="158"/>
      <c r="N74" s="158"/>
      <c r="O74" s="158"/>
      <c r="P74" s="158"/>
      <c r="Q74" s="158"/>
      <c r="R74" s="162"/>
      <c r="S74" s="162"/>
    </row>
    <row r="75" spans="1:19" ht="18" customHeight="1">
      <c r="A75" s="103"/>
      <c r="B75" s="104" t="str">
        <f>IFERROR(VLOOKUP(A75,'دليل الحسابات'!$A$5:$B$141,2,0),"")</f>
        <v/>
      </c>
      <c r="C75" s="104" t="str">
        <f>IFERROR(VLOOKUP(A75,'دليل الحسابات'!$A$5:$C$141,3,0),"")</f>
        <v/>
      </c>
      <c r="D75" s="105">
        <f>IFERROR(VLOOKUP(A75,'الأرصدة الافتتاحية'!$A$5:$C$121,3,0),0)</f>
        <v>0</v>
      </c>
      <c r="E75" s="105">
        <f>IFERROR(VLOOKUP(A75,'الأرصدة الافتتاحية'!$A$5:$D$121,4,0),0)</f>
        <v>0</v>
      </c>
      <c r="F75" s="106"/>
      <c r="G75" s="106"/>
      <c r="H75" s="107" t="str">
        <f t="shared" si="6"/>
        <v/>
      </c>
      <c r="I75" s="107" t="str">
        <f t="shared" si="7"/>
        <v/>
      </c>
      <c r="J75" s="107">
        <f t="shared" si="8"/>
        <v>0</v>
      </c>
      <c r="K75" s="158"/>
      <c r="L75" s="158"/>
      <c r="M75" s="158"/>
      <c r="N75" s="158"/>
      <c r="O75" s="158"/>
      <c r="P75" s="158"/>
      <c r="Q75" s="158"/>
      <c r="R75" s="162"/>
      <c r="S75" s="162"/>
    </row>
    <row r="76" spans="1:19" ht="18" customHeight="1">
      <c r="A76" s="103"/>
      <c r="B76" s="104" t="str">
        <f>IFERROR(VLOOKUP(A76,'دليل الحسابات'!$A$5:$B$141,2,0),"")</f>
        <v/>
      </c>
      <c r="C76" s="104" t="str">
        <f>IFERROR(VLOOKUP(A76,'دليل الحسابات'!$A$5:$C$141,3,0),"")</f>
        <v/>
      </c>
      <c r="D76" s="105">
        <f>IFERROR(VLOOKUP(A76,'الأرصدة الافتتاحية'!$A$5:$C$121,3,0),0)</f>
        <v>0</v>
      </c>
      <c r="E76" s="105">
        <f>IFERROR(VLOOKUP(A76,'الأرصدة الافتتاحية'!$A$5:$D$121,4,0),0)</f>
        <v>0</v>
      </c>
      <c r="F76" s="106"/>
      <c r="G76" s="106"/>
      <c r="H76" s="107" t="str">
        <f t="shared" si="6"/>
        <v/>
      </c>
      <c r="I76" s="107" t="str">
        <f t="shared" si="7"/>
        <v/>
      </c>
      <c r="J76" s="107">
        <f t="shared" si="8"/>
        <v>0</v>
      </c>
      <c r="K76" s="158"/>
      <c r="L76" s="158"/>
      <c r="M76" s="158"/>
      <c r="N76" s="158"/>
      <c r="O76" s="158"/>
      <c r="P76" s="158"/>
      <c r="Q76" s="158"/>
      <c r="R76" s="162"/>
      <c r="S76" s="162"/>
    </row>
    <row r="77" spans="1:19" ht="18" customHeight="1">
      <c r="A77" s="103"/>
      <c r="B77" s="104" t="str">
        <f>IFERROR(VLOOKUP(A77,'دليل الحسابات'!$A$5:$B$141,2,0),"")</f>
        <v/>
      </c>
      <c r="C77" s="104" t="str">
        <f>IFERROR(VLOOKUP(A77,'دليل الحسابات'!$A$5:$C$141,3,0),"")</f>
        <v/>
      </c>
      <c r="D77" s="105">
        <f>IFERROR(VLOOKUP(A77,'الأرصدة الافتتاحية'!$A$5:$C$121,3,0),0)</f>
        <v>0</v>
      </c>
      <c r="E77" s="105">
        <f>IFERROR(VLOOKUP(A77,'الأرصدة الافتتاحية'!$A$5:$D$121,4,0),0)</f>
        <v>0</v>
      </c>
      <c r="F77" s="106"/>
      <c r="G77" s="106"/>
      <c r="H77" s="107" t="str">
        <f t="shared" si="6"/>
        <v/>
      </c>
      <c r="I77" s="107" t="str">
        <f t="shared" si="7"/>
        <v/>
      </c>
      <c r="J77" s="107">
        <f t="shared" si="8"/>
        <v>0</v>
      </c>
      <c r="K77" s="158"/>
      <c r="L77" s="158"/>
      <c r="M77" s="158"/>
      <c r="N77" s="158"/>
      <c r="O77" s="158"/>
      <c r="P77" s="158"/>
      <c r="Q77" s="158"/>
      <c r="R77" s="162"/>
      <c r="S77" s="162"/>
    </row>
    <row r="78" spans="1:19" ht="18" customHeight="1">
      <c r="A78" s="103"/>
      <c r="B78" s="104" t="str">
        <f>IFERROR(VLOOKUP(A78,'دليل الحسابات'!$A$5:$B$141,2,0),"")</f>
        <v/>
      </c>
      <c r="C78" s="104" t="str">
        <f>IFERROR(VLOOKUP(A78,'دليل الحسابات'!$A$5:$C$141,3,0),"")</f>
        <v/>
      </c>
      <c r="D78" s="105">
        <f>IFERROR(VLOOKUP(A78,'الأرصدة الافتتاحية'!$A$5:$C$121,3,0),0)</f>
        <v>0</v>
      </c>
      <c r="E78" s="105">
        <f>IFERROR(VLOOKUP(A78,'الأرصدة الافتتاحية'!$A$5:$D$121,4,0),0)</f>
        <v>0</v>
      </c>
      <c r="F78" s="108"/>
      <c r="G78" s="106"/>
      <c r="H78" s="107" t="str">
        <f t="shared" si="6"/>
        <v/>
      </c>
      <c r="I78" s="107" t="str">
        <f t="shared" si="7"/>
        <v/>
      </c>
      <c r="J78" s="107">
        <f t="shared" si="8"/>
        <v>0</v>
      </c>
      <c r="K78" s="158"/>
      <c r="L78" s="158"/>
      <c r="M78" s="158"/>
      <c r="N78" s="158"/>
      <c r="O78" s="158"/>
      <c r="P78" s="158"/>
      <c r="Q78" s="158"/>
      <c r="R78" s="162"/>
      <c r="S78" s="162"/>
    </row>
    <row r="79" spans="1:19" ht="18" customHeight="1">
      <c r="A79" s="103"/>
      <c r="B79" s="104" t="str">
        <f>IFERROR(VLOOKUP(A79,'دليل الحسابات'!$A$5:$B$141,2,0),"")</f>
        <v/>
      </c>
      <c r="C79" s="104" t="str">
        <f>IFERROR(VLOOKUP(A79,'دليل الحسابات'!$A$5:$C$141,3,0),"")</f>
        <v/>
      </c>
      <c r="D79" s="105">
        <f>IFERROR(VLOOKUP(A79,'الأرصدة الافتتاحية'!$A$5:$C$121,3,0),0)</f>
        <v>0</v>
      </c>
      <c r="E79" s="105">
        <f>IFERROR(VLOOKUP(A79,'الأرصدة الافتتاحية'!$A$5:$D$121,4,0),0)</f>
        <v>0</v>
      </c>
      <c r="F79" s="106"/>
      <c r="G79" s="106"/>
      <c r="H79" s="107" t="str">
        <f t="shared" si="6"/>
        <v/>
      </c>
      <c r="I79" s="107" t="str">
        <f t="shared" si="7"/>
        <v/>
      </c>
      <c r="J79" s="107">
        <f t="shared" si="8"/>
        <v>0</v>
      </c>
      <c r="K79" s="158"/>
      <c r="L79" s="158"/>
      <c r="M79" s="158"/>
      <c r="N79" s="158"/>
      <c r="O79" s="158"/>
      <c r="P79" s="158"/>
      <c r="Q79" s="158"/>
      <c r="R79" s="162"/>
      <c r="S79" s="162"/>
    </row>
    <row r="80" spans="1:19" ht="18" customHeight="1">
      <c r="A80" s="103"/>
      <c r="B80" s="104" t="str">
        <f>IFERROR(VLOOKUP(A80,'دليل الحسابات'!$A$5:$B$141,2,0),"")</f>
        <v/>
      </c>
      <c r="C80" s="104" t="str">
        <f>IFERROR(VLOOKUP(A80,'دليل الحسابات'!$A$5:$C$141,3,0),"")</f>
        <v/>
      </c>
      <c r="D80" s="105">
        <f>IFERROR(VLOOKUP(A80,'الأرصدة الافتتاحية'!$A$5:$C$121,3,0),0)</f>
        <v>0</v>
      </c>
      <c r="E80" s="105">
        <f>IFERROR(VLOOKUP(A80,'الأرصدة الافتتاحية'!$A$5:$D$121,4,0),0)</f>
        <v>0</v>
      </c>
      <c r="F80" s="106"/>
      <c r="G80" s="106"/>
      <c r="H80" s="107" t="str">
        <f t="shared" si="6"/>
        <v/>
      </c>
      <c r="I80" s="107" t="str">
        <f t="shared" si="7"/>
        <v/>
      </c>
      <c r="J80" s="107">
        <f t="shared" si="8"/>
        <v>0</v>
      </c>
      <c r="K80" s="158"/>
      <c r="L80" s="158"/>
      <c r="M80" s="158"/>
      <c r="N80" s="158"/>
      <c r="O80" s="158"/>
      <c r="P80" s="158"/>
      <c r="Q80" s="158"/>
      <c r="R80" s="162"/>
      <c r="S80" s="162"/>
    </row>
    <row r="81" spans="1:19" ht="18" customHeight="1">
      <c r="A81" s="103"/>
      <c r="B81" s="104" t="str">
        <f>IFERROR(VLOOKUP(A81,'دليل الحسابات'!$A$5:$B$141,2,0),"")</f>
        <v/>
      </c>
      <c r="C81" s="104" t="str">
        <f>IFERROR(VLOOKUP(A81,'دليل الحسابات'!$A$5:$C$141,3,0),"")</f>
        <v/>
      </c>
      <c r="D81" s="105">
        <f>IFERROR(VLOOKUP(A81,'الأرصدة الافتتاحية'!$A$5:$C$121,3,0),0)</f>
        <v>0</v>
      </c>
      <c r="E81" s="105">
        <f>IFERROR(VLOOKUP(A81,'الأرصدة الافتتاحية'!$A$5:$D$121,4,0),0)</f>
        <v>0</v>
      </c>
      <c r="F81" s="106"/>
      <c r="G81" s="106"/>
      <c r="H81" s="107" t="str">
        <f t="shared" si="6"/>
        <v/>
      </c>
      <c r="I81" s="107" t="str">
        <f t="shared" si="7"/>
        <v/>
      </c>
      <c r="J81" s="107">
        <f t="shared" si="8"/>
        <v>0</v>
      </c>
      <c r="K81" s="158"/>
      <c r="L81" s="158"/>
      <c r="M81" s="158"/>
      <c r="N81" s="158"/>
      <c r="O81" s="158"/>
      <c r="P81" s="158"/>
      <c r="Q81" s="158"/>
      <c r="R81" s="162"/>
      <c r="S81" s="162"/>
    </row>
    <row r="82" spans="1:19" ht="18" customHeight="1">
      <c r="A82" s="103"/>
      <c r="B82" s="110" t="str">
        <f>IFERROR(VLOOKUP(A82,'دليل الحسابات'!$A$5:$B$141,2,0),"")</f>
        <v/>
      </c>
      <c r="C82" s="110" t="str">
        <f>IFERROR(VLOOKUP(A82,'دليل الحسابات'!$A$5:$C$141,3,0),"")</f>
        <v/>
      </c>
      <c r="D82" s="105">
        <f>IFERROR(VLOOKUP(A82,'الأرصدة الافتتاحية'!$A$5:$C$121,3,0),0)</f>
        <v>0</v>
      </c>
      <c r="E82" s="105">
        <f>IFERROR(VLOOKUP(A82,'الأرصدة الافتتاحية'!$A$5:$D$121,4,0),0)</f>
        <v>0</v>
      </c>
      <c r="F82" s="106"/>
      <c r="G82" s="106"/>
      <c r="H82" s="107" t="str">
        <f t="shared" si="6"/>
        <v/>
      </c>
      <c r="I82" s="107" t="str">
        <f t="shared" si="7"/>
        <v/>
      </c>
      <c r="J82" s="107">
        <f t="shared" si="8"/>
        <v>0</v>
      </c>
      <c r="K82" s="158"/>
      <c r="L82" s="158"/>
      <c r="M82" s="158"/>
      <c r="N82" s="158"/>
      <c r="O82" s="158"/>
      <c r="P82" s="158"/>
      <c r="Q82" s="158"/>
      <c r="R82" s="162"/>
      <c r="S82" s="162"/>
    </row>
    <row r="83" spans="1:19" ht="18" customHeight="1">
      <c r="A83" s="103"/>
      <c r="B83" s="110" t="str">
        <f>IFERROR(VLOOKUP(A83,'دليل الحسابات'!$A$5:$B$141,2,0),"")</f>
        <v/>
      </c>
      <c r="C83" s="110" t="str">
        <f>IFERROR(VLOOKUP(A83,'دليل الحسابات'!$A$5:$C$141,3,0),"")</f>
        <v/>
      </c>
      <c r="D83" s="105">
        <f>IFERROR(VLOOKUP(A83,'الأرصدة الافتتاحية'!$A$5:$C$121,3,0),0)</f>
        <v>0</v>
      </c>
      <c r="E83" s="105">
        <f>IFERROR(VLOOKUP(A83,'الأرصدة الافتتاحية'!$A$5:$D$121,4,0),0)</f>
        <v>0</v>
      </c>
      <c r="F83" s="106"/>
      <c r="G83" s="106"/>
      <c r="H83" s="107" t="str">
        <f t="shared" si="6"/>
        <v/>
      </c>
      <c r="I83" s="107" t="str">
        <f t="shared" si="7"/>
        <v/>
      </c>
      <c r="J83" s="107">
        <f t="shared" si="8"/>
        <v>0</v>
      </c>
      <c r="K83" s="158"/>
      <c r="L83" s="158"/>
      <c r="M83" s="158"/>
      <c r="N83" s="158"/>
      <c r="O83" s="158"/>
      <c r="P83" s="158"/>
      <c r="Q83" s="158"/>
      <c r="R83" s="162"/>
      <c r="S83" s="162"/>
    </row>
    <row r="84" spans="1:19" ht="18" customHeight="1">
      <c r="A84" s="103"/>
      <c r="B84" s="110" t="str">
        <f>IFERROR(VLOOKUP(A84,'دليل الحسابات'!$A$5:$B$141,2,0),"")</f>
        <v/>
      </c>
      <c r="C84" s="110" t="str">
        <f>IFERROR(VLOOKUP(A84,'دليل الحسابات'!$A$5:$C$141,3,0),"")</f>
        <v/>
      </c>
      <c r="D84" s="105">
        <f>IFERROR(VLOOKUP(A84,'الأرصدة الافتتاحية'!$A$5:$C$121,3,0),0)</f>
        <v>0</v>
      </c>
      <c r="E84" s="105">
        <f>IFERROR(VLOOKUP(A84,'الأرصدة الافتتاحية'!$A$5:$D$121,4,0),0)</f>
        <v>0</v>
      </c>
      <c r="F84" s="106"/>
      <c r="G84" s="106"/>
      <c r="H84" s="107" t="str">
        <f t="shared" si="6"/>
        <v/>
      </c>
      <c r="I84" s="107" t="str">
        <f t="shared" si="7"/>
        <v/>
      </c>
      <c r="J84" s="107">
        <f t="shared" si="8"/>
        <v>0</v>
      </c>
      <c r="K84" s="158"/>
      <c r="L84" s="158"/>
      <c r="M84" s="158"/>
      <c r="N84" s="158"/>
      <c r="O84" s="158"/>
      <c r="P84" s="158"/>
      <c r="Q84" s="158"/>
      <c r="R84" s="162"/>
      <c r="S84" s="162"/>
    </row>
    <row r="85" spans="1:19" ht="18" customHeight="1">
      <c r="A85" s="103"/>
      <c r="B85" s="110" t="str">
        <f>IFERROR(VLOOKUP(A85,'دليل الحسابات'!$A$5:$B$141,2,0),"")</f>
        <v/>
      </c>
      <c r="C85" s="110" t="str">
        <f>IFERROR(VLOOKUP(A85,'دليل الحسابات'!$A$5:$C$141,3,0),"")</f>
        <v/>
      </c>
      <c r="D85" s="105">
        <f>IFERROR(VLOOKUP(A85,'الأرصدة الافتتاحية'!$A$5:$C$121,3,0),0)</f>
        <v>0</v>
      </c>
      <c r="E85" s="105">
        <f>IFERROR(VLOOKUP(A85,'الأرصدة الافتتاحية'!$A$5:$D$121,4,0),0)</f>
        <v>0</v>
      </c>
      <c r="F85" s="106"/>
      <c r="G85" s="106"/>
      <c r="H85" s="107" t="str">
        <f t="shared" si="6"/>
        <v/>
      </c>
      <c r="I85" s="107" t="str">
        <f t="shared" si="7"/>
        <v/>
      </c>
      <c r="J85" s="107">
        <f t="shared" si="8"/>
        <v>0</v>
      </c>
      <c r="K85" s="158"/>
      <c r="L85" s="158"/>
      <c r="M85" s="158"/>
      <c r="N85" s="158"/>
      <c r="O85" s="158"/>
      <c r="P85" s="158"/>
      <c r="Q85" s="158"/>
      <c r="R85" s="162"/>
      <c r="S85" s="162"/>
    </row>
    <row r="86" spans="1:19" ht="18" customHeight="1">
      <c r="A86" s="103"/>
      <c r="B86" s="110" t="str">
        <f>IFERROR(VLOOKUP(A86,'دليل الحسابات'!$A$5:$B$141,2,0),"")</f>
        <v/>
      </c>
      <c r="C86" s="110" t="str">
        <f>IFERROR(VLOOKUP(A86,'دليل الحسابات'!$A$5:$C$141,3,0),"")</f>
        <v/>
      </c>
      <c r="D86" s="105">
        <f>IFERROR(VLOOKUP(A86,'الأرصدة الافتتاحية'!$A$5:$C$121,3,0),0)</f>
        <v>0</v>
      </c>
      <c r="E86" s="105">
        <f>IFERROR(VLOOKUP(A86,'الأرصدة الافتتاحية'!$A$5:$D$121,4,0),0)</f>
        <v>0</v>
      </c>
      <c r="F86" s="106"/>
      <c r="G86" s="106"/>
      <c r="H86" s="107" t="str">
        <f t="shared" si="6"/>
        <v/>
      </c>
      <c r="I86" s="107" t="str">
        <f t="shared" si="7"/>
        <v/>
      </c>
      <c r="J86" s="107">
        <f t="shared" si="8"/>
        <v>0</v>
      </c>
      <c r="K86" s="158"/>
      <c r="L86" s="158"/>
      <c r="M86" s="158"/>
      <c r="N86" s="158"/>
      <c r="O86" s="158"/>
      <c r="P86" s="158"/>
      <c r="Q86" s="158"/>
      <c r="R86" s="162"/>
      <c r="S86" s="162"/>
    </row>
    <row r="87" spans="1:19" ht="18" customHeight="1">
      <c r="A87" s="103"/>
      <c r="B87" s="110" t="str">
        <f>IFERROR(VLOOKUP(A87,'دليل الحسابات'!$A$5:$B$141,2,0),"")</f>
        <v/>
      </c>
      <c r="C87" s="110" t="str">
        <f>IFERROR(VLOOKUP(A87,'دليل الحسابات'!$A$5:$C$141,3,0),"")</f>
        <v/>
      </c>
      <c r="D87" s="105">
        <f>IFERROR(VLOOKUP(A87,'الأرصدة الافتتاحية'!$A$5:$C$121,3,0),0)</f>
        <v>0</v>
      </c>
      <c r="E87" s="105">
        <f>IFERROR(VLOOKUP(A87,'الأرصدة الافتتاحية'!$A$5:$D$121,4,0),0)</f>
        <v>0</v>
      </c>
      <c r="F87" s="106"/>
      <c r="G87" s="106"/>
      <c r="H87" s="107" t="str">
        <f t="shared" si="6"/>
        <v/>
      </c>
      <c r="I87" s="107" t="str">
        <f t="shared" si="7"/>
        <v/>
      </c>
      <c r="J87" s="107">
        <f t="shared" si="8"/>
        <v>0</v>
      </c>
      <c r="K87" s="158"/>
      <c r="L87" s="158"/>
      <c r="M87" s="158"/>
      <c r="N87" s="158"/>
      <c r="O87" s="158"/>
      <c r="P87" s="158"/>
      <c r="Q87" s="158"/>
      <c r="R87" s="162"/>
      <c r="S87" s="162"/>
    </row>
    <row r="88" spans="1:19" ht="18" customHeight="1">
      <c r="A88" s="103"/>
      <c r="B88" s="111" t="str">
        <f>IFERROR(VLOOKUP(A88,'دليل الحسابات'!$A$5:$B$141,2,0),"")</f>
        <v/>
      </c>
      <c r="C88" s="111" t="str">
        <f>IFERROR(VLOOKUP(A88,'دليل الحسابات'!$A$5:$C$141,3,0),"")</f>
        <v/>
      </c>
      <c r="D88" s="105">
        <f>IFERROR(VLOOKUP(A88,'الأرصدة الافتتاحية'!$A$5:$C$121,3,0),0)</f>
        <v>0</v>
      </c>
      <c r="E88" s="105">
        <f>IFERROR(VLOOKUP(A88,'الأرصدة الافتتاحية'!$A$5:$D$121,4,0),0)</f>
        <v>0</v>
      </c>
      <c r="F88" s="106"/>
      <c r="G88" s="106"/>
      <c r="H88" s="107" t="str">
        <f t="shared" si="6"/>
        <v/>
      </c>
      <c r="I88" s="107" t="str">
        <f t="shared" si="7"/>
        <v/>
      </c>
      <c r="J88" s="107">
        <f t="shared" si="8"/>
        <v>0</v>
      </c>
      <c r="K88" s="158"/>
      <c r="L88" s="158"/>
      <c r="M88" s="158"/>
      <c r="N88" s="158"/>
      <c r="O88" s="158"/>
      <c r="P88" s="158"/>
      <c r="Q88" s="158"/>
      <c r="R88" s="162"/>
      <c r="S88" s="162"/>
    </row>
    <row r="89" spans="1:19" ht="18" customHeight="1">
      <c r="A89" s="103"/>
      <c r="B89" s="111" t="str">
        <f>IFERROR(VLOOKUP(A89,'دليل الحسابات'!$A$5:$B$141,2,0),"")</f>
        <v/>
      </c>
      <c r="C89" s="111" t="str">
        <f>IFERROR(VLOOKUP(A89,'دليل الحسابات'!$A$5:$C$141,3,0),"")</f>
        <v/>
      </c>
      <c r="D89" s="105">
        <f>IFERROR(VLOOKUP(A89,'الأرصدة الافتتاحية'!$A$5:$C$121,3,0),0)</f>
        <v>0</v>
      </c>
      <c r="E89" s="105">
        <f>IFERROR(VLOOKUP(A89,'الأرصدة الافتتاحية'!$A$5:$D$121,4,0),0)</f>
        <v>0</v>
      </c>
      <c r="F89" s="106"/>
      <c r="G89" s="106"/>
      <c r="H89" s="107" t="str">
        <f t="shared" si="6"/>
        <v/>
      </c>
      <c r="I89" s="107" t="str">
        <f t="shared" si="7"/>
        <v/>
      </c>
      <c r="J89" s="107">
        <f t="shared" si="8"/>
        <v>0</v>
      </c>
      <c r="K89" s="158"/>
      <c r="L89" s="158"/>
      <c r="M89" s="158"/>
      <c r="N89" s="158"/>
      <c r="O89" s="158"/>
      <c r="P89" s="158"/>
      <c r="Q89" s="158"/>
      <c r="R89" s="162"/>
      <c r="S89" s="162"/>
    </row>
    <row r="90" spans="1:19" ht="18" customHeight="1">
      <c r="A90" s="103"/>
      <c r="B90" s="111" t="str">
        <f>IFERROR(VLOOKUP(A90,'دليل الحسابات'!$A$5:$B$141,2,0),"")</f>
        <v/>
      </c>
      <c r="C90" s="111" t="str">
        <f>IFERROR(VLOOKUP(A90,'دليل الحسابات'!$A$5:$C$141,3,0),"")</f>
        <v/>
      </c>
      <c r="D90" s="105">
        <f>IFERROR(VLOOKUP(A90,'الأرصدة الافتتاحية'!$A$5:$C$121,3,0),0)</f>
        <v>0</v>
      </c>
      <c r="E90" s="105">
        <f>IFERROR(VLOOKUP(A90,'الأرصدة الافتتاحية'!$A$5:$D$121,4,0),0)</f>
        <v>0</v>
      </c>
      <c r="F90" s="106"/>
      <c r="G90" s="106"/>
      <c r="H90" s="107" t="str">
        <f t="shared" si="6"/>
        <v/>
      </c>
      <c r="I90" s="107" t="str">
        <f t="shared" si="7"/>
        <v/>
      </c>
      <c r="J90" s="107">
        <f t="shared" si="8"/>
        <v>0</v>
      </c>
      <c r="K90" s="158"/>
      <c r="L90" s="158"/>
      <c r="M90" s="158"/>
      <c r="N90" s="158"/>
      <c r="O90" s="158"/>
      <c r="P90" s="158"/>
      <c r="Q90" s="158"/>
      <c r="R90" s="162"/>
      <c r="S90" s="162"/>
    </row>
    <row r="91" spans="1:19" ht="18" customHeight="1">
      <c r="A91" s="103"/>
      <c r="B91" s="111" t="str">
        <f>IFERROR(VLOOKUP(A91,'دليل الحسابات'!$A$5:$B$141,2,0),"")</f>
        <v/>
      </c>
      <c r="C91" s="111" t="str">
        <f>IFERROR(VLOOKUP(A91,'دليل الحسابات'!$A$5:$C$141,3,0),"")</f>
        <v/>
      </c>
      <c r="D91" s="105">
        <f>IFERROR(VLOOKUP(A91,'الأرصدة الافتتاحية'!$A$5:$C$121,3,0),0)</f>
        <v>0</v>
      </c>
      <c r="E91" s="105">
        <f>IFERROR(VLOOKUP(A91,'الأرصدة الافتتاحية'!$A$5:$D$121,4,0),0)</f>
        <v>0</v>
      </c>
      <c r="F91" s="106"/>
      <c r="G91" s="106"/>
      <c r="H91" s="107" t="str">
        <f t="shared" si="6"/>
        <v/>
      </c>
      <c r="I91" s="107" t="str">
        <f t="shared" si="7"/>
        <v/>
      </c>
      <c r="J91" s="107">
        <f t="shared" si="8"/>
        <v>0</v>
      </c>
      <c r="K91" s="158"/>
      <c r="L91" s="158"/>
      <c r="M91" s="158"/>
      <c r="N91" s="158"/>
      <c r="O91" s="158"/>
      <c r="P91" s="158"/>
      <c r="Q91" s="158"/>
      <c r="R91" s="162"/>
      <c r="S91" s="162"/>
    </row>
    <row r="92" spans="1:19" ht="18" customHeight="1">
      <c r="A92" s="103"/>
      <c r="B92" s="104" t="str">
        <f>IFERROR(VLOOKUP(A92,'دليل الحسابات'!$A$5:$B$141,2,0),"")</f>
        <v/>
      </c>
      <c r="C92" s="104" t="str">
        <f>IFERROR(VLOOKUP(A92,'دليل الحسابات'!$A$5:$C$141,3,0),"")</f>
        <v/>
      </c>
      <c r="D92" s="105">
        <f>IFERROR(VLOOKUP(A92,'الأرصدة الافتتاحية'!$A$5:$C$121,3,0),0)</f>
        <v>0</v>
      </c>
      <c r="E92" s="105">
        <f>IFERROR(VLOOKUP(A92,'الأرصدة الافتتاحية'!$A$5:$D$121,4,0),0)</f>
        <v>0</v>
      </c>
      <c r="F92" s="106"/>
      <c r="G92" s="106"/>
      <c r="H92" s="107" t="str">
        <f t="shared" si="6"/>
        <v/>
      </c>
      <c r="I92" s="107" t="str">
        <f t="shared" si="7"/>
        <v/>
      </c>
      <c r="J92" s="107">
        <f t="shared" si="8"/>
        <v>0</v>
      </c>
      <c r="K92" s="158"/>
      <c r="L92" s="158"/>
      <c r="M92" s="158"/>
      <c r="N92" s="158"/>
      <c r="O92" s="158"/>
      <c r="P92" s="158"/>
      <c r="Q92" s="158"/>
      <c r="R92" s="162"/>
      <c r="S92" s="162"/>
    </row>
    <row r="93" spans="1:19" ht="18" customHeight="1">
      <c r="A93" s="103"/>
      <c r="B93" s="104" t="str">
        <f>IFERROR(VLOOKUP(A93,'دليل الحسابات'!$A$5:$B$141,2,0),"")</f>
        <v/>
      </c>
      <c r="C93" s="104" t="str">
        <f>IFERROR(VLOOKUP(A93,'دليل الحسابات'!$A$5:$C$141,3,0),"")</f>
        <v/>
      </c>
      <c r="D93" s="105">
        <f>IFERROR(VLOOKUP(A93,'الأرصدة الافتتاحية'!$A$5:$C$121,3,0),0)</f>
        <v>0</v>
      </c>
      <c r="E93" s="105">
        <f>IFERROR(VLOOKUP(A93,'الأرصدة الافتتاحية'!$A$5:$D$121,4,0),0)</f>
        <v>0</v>
      </c>
      <c r="F93" s="106"/>
      <c r="G93" s="106"/>
      <c r="H93" s="107" t="str">
        <f t="shared" si="6"/>
        <v/>
      </c>
      <c r="I93" s="107" t="str">
        <f t="shared" si="7"/>
        <v/>
      </c>
      <c r="J93" s="107">
        <f t="shared" si="8"/>
        <v>0</v>
      </c>
      <c r="K93" s="158"/>
      <c r="L93" s="158"/>
      <c r="M93" s="158"/>
      <c r="N93" s="158"/>
      <c r="O93" s="158"/>
      <c r="P93" s="158"/>
      <c r="Q93" s="158"/>
      <c r="R93" s="162"/>
      <c r="S93" s="162"/>
    </row>
    <row r="94" spans="1:19" ht="18" customHeight="1">
      <c r="A94" s="109"/>
      <c r="B94" s="104" t="str">
        <f>IFERROR(VLOOKUP(A94,'دليل الحسابات'!$A$5:$B$141,2,0),"")</f>
        <v/>
      </c>
      <c r="C94" s="104" t="str">
        <f>IFERROR(VLOOKUP(A94,'دليل الحسابات'!$A$5:$C$141,3,0),"")</f>
        <v/>
      </c>
      <c r="D94" s="105">
        <f>IFERROR(VLOOKUP(A94,'الأرصدة الافتتاحية'!$A$5:$C$121,3,0),0)</f>
        <v>0</v>
      </c>
      <c r="E94" s="105">
        <f>IFERROR(VLOOKUP(A94,'الأرصدة الافتتاحية'!$A$5:$D$121,4,0),0)</f>
        <v>0</v>
      </c>
      <c r="F94" s="106"/>
      <c r="G94" s="106"/>
      <c r="H94" s="107" t="str">
        <f t="shared" si="6"/>
        <v/>
      </c>
      <c r="I94" s="107" t="str">
        <f t="shared" si="7"/>
        <v/>
      </c>
      <c r="J94" s="107">
        <f t="shared" si="8"/>
        <v>0</v>
      </c>
      <c r="K94" s="158"/>
      <c r="L94" s="158"/>
      <c r="M94" s="158"/>
      <c r="N94" s="158"/>
      <c r="O94" s="158"/>
      <c r="P94" s="158"/>
      <c r="Q94" s="158"/>
      <c r="R94" s="162"/>
      <c r="S94" s="162"/>
    </row>
    <row r="95" spans="1:19" ht="18" customHeight="1">
      <c r="A95" s="109"/>
      <c r="B95" s="104" t="str">
        <f>IFERROR(VLOOKUP(A95,'دليل الحسابات'!$A$5:$B$141,2,0),"")</f>
        <v/>
      </c>
      <c r="C95" s="104" t="str">
        <f>IFERROR(VLOOKUP(A95,'دليل الحسابات'!$A$5:$C$141,3,0),"")</f>
        <v/>
      </c>
      <c r="D95" s="105">
        <f>IFERROR(VLOOKUP(A95,'الأرصدة الافتتاحية'!$A$5:$C$121,3,0),0)</f>
        <v>0</v>
      </c>
      <c r="E95" s="105">
        <f>IFERROR(VLOOKUP(A95,'الأرصدة الافتتاحية'!$A$5:$D$121,4,0),0)</f>
        <v>0</v>
      </c>
      <c r="F95" s="106"/>
      <c r="G95" s="106"/>
      <c r="H95" s="107" t="str">
        <f t="shared" si="6"/>
        <v/>
      </c>
      <c r="I95" s="107" t="str">
        <f t="shared" si="7"/>
        <v/>
      </c>
      <c r="J95" s="107">
        <f t="shared" si="8"/>
        <v>0</v>
      </c>
      <c r="K95" s="158"/>
      <c r="L95" s="158"/>
      <c r="M95" s="158"/>
      <c r="N95" s="158"/>
      <c r="O95" s="158"/>
      <c r="P95" s="158"/>
      <c r="Q95" s="158"/>
      <c r="R95" s="162"/>
      <c r="S95" s="162"/>
    </row>
    <row r="96" spans="1:19" ht="18" customHeight="1">
      <c r="A96" s="109"/>
      <c r="B96" s="104" t="str">
        <f>IFERROR(VLOOKUP(A96,'دليل الحسابات'!$A$5:$B$141,2,0),"")</f>
        <v/>
      </c>
      <c r="C96" s="104" t="str">
        <f>IFERROR(VLOOKUP(A96,'دليل الحسابات'!$A$5:$C$141,3,0),"")</f>
        <v/>
      </c>
      <c r="D96" s="105">
        <f>IFERROR(VLOOKUP(A96,'الأرصدة الافتتاحية'!$A$5:$C$121,3,0),0)</f>
        <v>0</v>
      </c>
      <c r="E96" s="105">
        <f>IFERROR(VLOOKUP(A96,'الأرصدة الافتتاحية'!$A$5:$D$121,4,0),0)</f>
        <v>0</v>
      </c>
      <c r="F96" s="106"/>
      <c r="G96" s="106"/>
      <c r="H96" s="107" t="str">
        <f t="shared" si="6"/>
        <v/>
      </c>
      <c r="I96" s="107" t="str">
        <f t="shared" si="7"/>
        <v/>
      </c>
      <c r="J96" s="107">
        <f t="shared" si="8"/>
        <v>0</v>
      </c>
      <c r="K96" s="158"/>
      <c r="L96" s="158"/>
      <c r="M96" s="158"/>
      <c r="N96" s="158"/>
      <c r="O96" s="158"/>
      <c r="P96" s="158"/>
      <c r="Q96" s="158"/>
      <c r="R96" s="162"/>
      <c r="S96" s="162"/>
    </row>
    <row r="97" spans="1:19" ht="18" customHeight="1">
      <c r="A97" s="109"/>
      <c r="B97" s="104" t="str">
        <f>IFERROR(VLOOKUP(A97,'دليل الحسابات'!$A$5:$B$141,2,0),"")</f>
        <v/>
      </c>
      <c r="C97" s="104" t="str">
        <f>IFERROR(VLOOKUP(A97,'دليل الحسابات'!$A$5:$C$141,3,0),"")</f>
        <v/>
      </c>
      <c r="D97" s="105">
        <f>IFERROR(VLOOKUP(A97,'الأرصدة الافتتاحية'!$A$5:$C$121,3,0),0)</f>
        <v>0</v>
      </c>
      <c r="E97" s="105">
        <f>IFERROR(VLOOKUP(A97,'الأرصدة الافتتاحية'!$A$5:$D$121,4,0),0)</f>
        <v>0</v>
      </c>
      <c r="F97" s="106"/>
      <c r="G97" s="106"/>
      <c r="H97" s="107" t="str">
        <f t="shared" si="6"/>
        <v/>
      </c>
      <c r="I97" s="107" t="str">
        <f t="shared" si="7"/>
        <v/>
      </c>
      <c r="J97" s="107">
        <f t="shared" si="8"/>
        <v>0</v>
      </c>
      <c r="K97" s="158"/>
      <c r="L97" s="158"/>
      <c r="M97" s="158"/>
      <c r="N97" s="158"/>
      <c r="O97" s="158"/>
      <c r="P97" s="158"/>
      <c r="Q97" s="158"/>
      <c r="R97" s="162"/>
      <c r="S97" s="162"/>
    </row>
    <row r="98" spans="1:19" ht="18" customHeight="1">
      <c r="A98" s="109"/>
      <c r="B98" s="104" t="str">
        <f>IFERROR(VLOOKUP(A98,'دليل الحسابات'!$A$5:$B$141,2,0),"")</f>
        <v/>
      </c>
      <c r="C98" s="104" t="str">
        <f>IFERROR(VLOOKUP(A98,'دليل الحسابات'!$A$5:$C$141,3,0),"")</f>
        <v/>
      </c>
      <c r="D98" s="105">
        <f>IFERROR(VLOOKUP(A98,'الأرصدة الافتتاحية'!$A$5:$C$121,3,0),0)</f>
        <v>0</v>
      </c>
      <c r="E98" s="105">
        <f>IFERROR(VLOOKUP(A98,'الأرصدة الافتتاحية'!$A$5:$D$121,4,0),0)</f>
        <v>0</v>
      </c>
      <c r="F98" s="106"/>
      <c r="G98" s="106"/>
      <c r="H98" s="107" t="str">
        <f t="shared" si="6"/>
        <v/>
      </c>
      <c r="I98" s="107" t="str">
        <f t="shared" si="7"/>
        <v/>
      </c>
      <c r="J98" s="107">
        <f t="shared" si="8"/>
        <v>0</v>
      </c>
      <c r="K98" s="158"/>
      <c r="L98" s="158"/>
      <c r="M98" s="158"/>
      <c r="N98" s="158"/>
      <c r="O98" s="158"/>
      <c r="P98" s="158"/>
      <c r="Q98" s="158"/>
      <c r="R98" s="162"/>
      <c r="S98" s="162"/>
    </row>
    <row r="99" spans="1:19" ht="18" customHeight="1">
      <c r="A99" s="109"/>
      <c r="B99" s="104" t="str">
        <f>IFERROR(VLOOKUP(A99,'دليل الحسابات'!$A$5:$B$141,2,0),"")</f>
        <v/>
      </c>
      <c r="C99" s="104" t="str">
        <f>IFERROR(VLOOKUP(A99,'دليل الحسابات'!$A$5:$C$141,3,0),"")</f>
        <v/>
      </c>
      <c r="D99" s="105">
        <f>IFERROR(VLOOKUP(A99,'الأرصدة الافتتاحية'!$A$5:$C$121,3,0),0)</f>
        <v>0</v>
      </c>
      <c r="E99" s="105">
        <f>IFERROR(VLOOKUP(A99,'الأرصدة الافتتاحية'!$A$5:$D$121,4,0),0)</f>
        <v>0</v>
      </c>
      <c r="F99" s="106"/>
      <c r="G99" s="106"/>
      <c r="H99" s="107" t="str">
        <f t="shared" si="6"/>
        <v/>
      </c>
      <c r="I99" s="107" t="str">
        <f t="shared" si="7"/>
        <v/>
      </c>
      <c r="J99" s="107">
        <f t="shared" si="8"/>
        <v>0</v>
      </c>
      <c r="K99" s="158"/>
      <c r="L99" s="158"/>
      <c r="M99" s="158"/>
      <c r="N99" s="158"/>
      <c r="O99" s="158"/>
      <c r="P99" s="158"/>
      <c r="Q99" s="158"/>
      <c r="R99" s="162"/>
      <c r="S99" s="162"/>
    </row>
    <row r="100" spans="1:19" ht="18" customHeight="1">
      <c r="A100" s="109"/>
      <c r="B100" s="104" t="str">
        <f>IFERROR(VLOOKUP(A100,'دليل الحسابات'!$A$5:$B$141,2,0),"")</f>
        <v/>
      </c>
      <c r="C100" s="104" t="str">
        <f>IFERROR(VLOOKUP(A100,'دليل الحسابات'!$A$5:$C$141,3,0),"")</f>
        <v/>
      </c>
      <c r="D100" s="105">
        <f>IFERROR(VLOOKUP(A100,'الأرصدة الافتتاحية'!$A$5:$C$121,3,0),0)</f>
        <v>0</v>
      </c>
      <c r="E100" s="105">
        <f>IFERROR(VLOOKUP(A100,'الأرصدة الافتتاحية'!$A$5:$D$121,4,0),0)</f>
        <v>0</v>
      </c>
      <c r="F100" s="106"/>
      <c r="G100" s="106"/>
      <c r="H100" s="107" t="str">
        <f t="shared" si="6"/>
        <v/>
      </c>
      <c r="I100" s="107" t="str">
        <f t="shared" si="7"/>
        <v/>
      </c>
      <c r="J100" s="107">
        <f t="shared" si="8"/>
        <v>0</v>
      </c>
      <c r="K100" s="158"/>
      <c r="L100" s="158"/>
      <c r="M100" s="158"/>
      <c r="N100" s="158"/>
      <c r="O100" s="158"/>
      <c r="P100" s="158"/>
      <c r="Q100" s="158"/>
      <c r="R100" s="162"/>
      <c r="S100" s="162"/>
    </row>
    <row r="101" spans="1:19" ht="18" customHeight="1">
      <c r="A101" s="109"/>
      <c r="B101" s="104" t="str">
        <f>IFERROR(VLOOKUP(A101,'دليل الحسابات'!$A$5:$B$141,2,0),"")</f>
        <v/>
      </c>
      <c r="C101" s="104" t="str">
        <f>IFERROR(VLOOKUP(A101,'دليل الحسابات'!$A$5:$C$141,3,0),"")</f>
        <v/>
      </c>
      <c r="D101" s="105">
        <f>IFERROR(VLOOKUP(A101,'الأرصدة الافتتاحية'!$A$5:$C$121,3,0),0)</f>
        <v>0</v>
      </c>
      <c r="E101" s="105">
        <f>IFERROR(VLOOKUP(A101,'الأرصدة الافتتاحية'!$A$5:$D$121,4,0),0)</f>
        <v>0</v>
      </c>
      <c r="F101" s="106"/>
      <c r="G101" s="106"/>
      <c r="H101" s="107" t="str">
        <f t="shared" ref="H101:H121" si="9">IFERROR(IF(A101="","",D101+IFERROR(F101,0)),0)</f>
        <v/>
      </c>
      <c r="I101" s="107" t="str">
        <f t="shared" ref="I101:I121" si="10">IFERROR(IF(A101="","",E101+IFERROR(G101,0)),0)</f>
        <v/>
      </c>
      <c r="J101" s="107">
        <f t="shared" ref="J101:J121" si="11">IFERROR(H101-I101,0)</f>
        <v>0</v>
      </c>
      <c r="K101" s="158"/>
      <c r="L101" s="158"/>
      <c r="M101" s="158"/>
      <c r="N101" s="158"/>
      <c r="O101" s="158"/>
      <c r="P101" s="158"/>
      <c r="Q101" s="158"/>
      <c r="R101" s="162"/>
      <c r="S101" s="162"/>
    </row>
    <row r="102" spans="1:19" ht="18" customHeight="1">
      <c r="A102" s="109"/>
      <c r="B102" s="104" t="str">
        <f>IFERROR(VLOOKUP(A102,'دليل الحسابات'!$A$5:$B$141,2,0),"")</f>
        <v/>
      </c>
      <c r="C102" s="104" t="str">
        <f>IFERROR(VLOOKUP(A102,'دليل الحسابات'!$A$5:$C$141,3,0),"")</f>
        <v/>
      </c>
      <c r="D102" s="105">
        <f>IFERROR(VLOOKUP(A102,'الأرصدة الافتتاحية'!$A$5:$C$121,3,0),0)</f>
        <v>0</v>
      </c>
      <c r="E102" s="105">
        <f>IFERROR(VLOOKUP(A102,'الأرصدة الافتتاحية'!$A$5:$D$121,4,0),0)</f>
        <v>0</v>
      </c>
      <c r="F102" s="106"/>
      <c r="G102" s="106"/>
      <c r="H102" s="107" t="str">
        <f t="shared" si="9"/>
        <v/>
      </c>
      <c r="I102" s="107" t="str">
        <f t="shared" si="10"/>
        <v/>
      </c>
      <c r="J102" s="107">
        <f t="shared" si="11"/>
        <v>0</v>
      </c>
      <c r="K102" s="158"/>
      <c r="L102" s="158"/>
      <c r="M102" s="158"/>
      <c r="N102" s="158"/>
      <c r="O102" s="158"/>
      <c r="P102" s="158"/>
      <c r="Q102" s="158"/>
      <c r="R102" s="162"/>
      <c r="S102" s="162"/>
    </row>
    <row r="103" spans="1:19" ht="18" customHeight="1">
      <c r="A103" s="109"/>
      <c r="B103" s="104" t="str">
        <f>IFERROR(VLOOKUP(A103,'دليل الحسابات'!$A$5:$B$141,2,0),"")</f>
        <v/>
      </c>
      <c r="C103" s="104" t="str">
        <f>IFERROR(VLOOKUP(A103,'دليل الحسابات'!$A$5:$C$141,3,0),"")</f>
        <v/>
      </c>
      <c r="D103" s="105">
        <f>IFERROR(VLOOKUP(A103,'الأرصدة الافتتاحية'!$A$5:$C$121,3,0),0)</f>
        <v>0</v>
      </c>
      <c r="E103" s="105">
        <f>IFERROR(VLOOKUP(A103,'الأرصدة الافتتاحية'!$A$5:$D$121,4,0),0)</f>
        <v>0</v>
      </c>
      <c r="F103" s="106"/>
      <c r="G103" s="106"/>
      <c r="H103" s="107" t="str">
        <f t="shared" si="9"/>
        <v/>
      </c>
      <c r="I103" s="107" t="str">
        <f t="shared" si="10"/>
        <v/>
      </c>
      <c r="J103" s="107">
        <f t="shared" si="11"/>
        <v>0</v>
      </c>
      <c r="K103" s="158"/>
      <c r="L103" s="158"/>
      <c r="M103" s="158"/>
      <c r="N103" s="158"/>
      <c r="O103" s="158"/>
      <c r="P103" s="158"/>
      <c r="Q103" s="158"/>
      <c r="R103" s="162"/>
      <c r="S103" s="162"/>
    </row>
    <row r="104" spans="1:19" ht="18" customHeight="1">
      <c r="A104" s="109"/>
      <c r="B104" s="104" t="str">
        <f>IFERROR(VLOOKUP(A104,'دليل الحسابات'!$A$5:$B$141,2,0),"")</f>
        <v/>
      </c>
      <c r="C104" s="104" t="str">
        <f>IFERROR(VLOOKUP(A104,'دليل الحسابات'!$A$5:$C$141,3,0),"")</f>
        <v/>
      </c>
      <c r="D104" s="105">
        <f>IFERROR(VLOOKUP(A104,'الأرصدة الافتتاحية'!$A$5:$C$121,3,0),0)</f>
        <v>0</v>
      </c>
      <c r="E104" s="105">
        <f>IFERROR(VLOOKUP(A104,'الأرصدة الافتتاحية'!$A$5:$D$121,4,0),0)</f>
        <v>0</v>
      </c>
      <c r="F104" s="106"/>
      <c r="G104" s="106"/>
      <c r="H104" s="107" t="str">
        <f t="shared" si="9"/>
        <v/>
      </c>
      <c r="I104" s="107" t="str">
        <f t="shared" si="10"/>
        <v/>
      </c>
      <c r="J104" s="107">
        <f t="shared" si="11"/>
        <v>0</v>
      </c>
      <c r="K104" s="158"/>
      <c r="L104" s="158"/>
      <c r="M104" s="158"/>
      <c r="N104" s="158"/>
      <c r="O104" s="158"/>
      <c r="P104" s="158"/>
      <c r="Q104" s="158"/>
      <c r="R104" s="162"/>
      <c r="S104" s="162"/>
    </row>
    <row r="105" spans="1:19" ht="18" customHeight="1">
      <c r="A105" s="109"/>
      <c r="B105" s="104" t="str">
        <f>IFERROR(VLOOKUP(A105,'دليل الحسابات'!$A$5:$B$141,2,0),"")</f>
        <v/>
      </c>
      <c r="C105" s="104" t="str">
        <f>IFERROR(VLOOKUP(A105,'دليل الحسابات'!$A$5:$C$141,3,0),"")</f>
        <v/>
      </c>
      <c r="D105" s="105">
        <f>IFERROR(VLOOKUP(A105,'الأرصدة الافتتاحية'!$A$5:$C$121,3,0),0)</f>
        <v>0</v>
      </c>
      <c r="E105" s="105">
        <f>IFERROR(VLOOKUP(A105,'الأرصدة الافتتاحية'!$A$5:$D$121,4,0),0)</f>
        <v>0</v>
      </c>
      <c r="F105" s="106"/>
      <c r="G105" s="106"/>
      <c r="H105" s="107" t="str">
        <f t="shared" si="9"/>
        <v/>
      </c>
      <c r="I105" s="107" t="str">
        <f t="shared" si="10"/>
        <v/>
      </c>
      <c r="J105" s="107">
        <f t="shared" si="11"/>
        <v>0</v>
      </c>
      <c r="K105" s="158"/>
      <c r="L105" s="158"/>
      <c r="M105" s="158"/>
      <c r="N105" s="158"/>
      <c r="O105" s="158"/>
      <c r="P105" s="158"/>
      <c r="Q105" s="158"/>
      <c r="R105" s="162"/>
      <c r="S105" s="162"/>
    </row>
    <row r="106" spans="1:19" ht="18" customHeight="1">
      <c r="A106" s="109"/>
      <c r="B106" s="104" t="str">
        <f>IFERROR(VLOOKUP(A106,'دليل الحسابات'!$A$5:$B$141,2,0),"")</f>
        <v/>
      </c>
      <c r="C106" s="104" t="str">
        <f>IFERROR(VLOOKUP(A106,'دليل الحسابات'!$A$5:$C$141,3,0),"")</f>
        <v/>
      </c>
      <c r="D106" s="105">
        <f>IFERROR(VLOOKUP(A106,'الأرصدة الافتتاحية'!$A$5:$C$121,3,0),0)</f>
        <v>0</v>
      </c>
      <c r="E106" s="105">
        <f>IFERROR(VLOOKUP(A106,'الأرصدة الافتتاحية'!$A$5:$D$121,4,0),0)</f>
        <v>0</v>
      </c>
      <c r="F106" s="106"/>
      <c r="G106" s="106"/>
      <c r="H106" s="107" t="str">
        <f t="shared" si="9"/>
        <v/>
      </c>
      <c r="I106" s="107" t="str">
        <f t="shared" si="10"/>
        <v/>
      </c>
      <c r="J106" s="107">
        <f t="shared" si="11"/>
        <v>0</v>
      </c>
      <c r="K106" s="158"/>
      <c r="L106" s="158"/>
      <c r="M106" s="158"/>
      <c r="N106" s="158"/>
      <c r="O106" s="158"/>
      <c r="P106" s="158"/>
      <c r="Q106" s="158"/>
      <c r="R106" s="162"/>
      <c r="S106" s="162"/>
    </row>
    <row r="107" spans="1:19" ht="18" customHeight="1">
      <c r="A107" s="109"/>
      <c r="B107" s="104" t="str">
        <f>IFERROR(VLOOKUP(A107,'دليل الحسابات'!$A$5:$B$141,2,0),"")</f>
        <v/>
      </c>
      <c r="C107" s="104" t="str">
        <f>IFERROR(VLOOKUP(A107,'دليل الحسابات'!$A$5:$C$141,3,0),"")</f>
        <v/>
      </c>
      <c r="D107" s="105">
        <f>IFERROR(VLOOKUP(A107,'الأرصدة الافتتاحية'!$A$5:$C$121,3,0),0)</f>
        <v>0</v>
      </c>
      <c r="E107" s="105">
        <f>IFERROR(VLOOKUP(A107,'الأرصدة الافتتاحية'!$A$5:$D$121,4,0),0)</f>
        <v>0</v>
      </c>
      <c r="F107" s="106"/>
      <c r="G107" s="106"/>
      <c r="H107" s="107" t="str">
        <f t="shared" si="9"/>
        <v/>
      </c>
      <c r="I107" s="107" t="str">
        <f t="shared" si="10"/>
        <v/>
      </c>
      <c r="J107" s="107">
        <f t="shared" si="11"/>
        <v>0</v>
      </c>
      <c r="K107" s="158"/>
      <c r="L107" s="158"/>
      <c r="M107" s="158"/>
      <c r="N107" s="158"/>
      <c r="O107" s="158"/>
      <c r="P107" s="158"/>
      <c r="Q107" s="158"/>
      <c r="R107" s="162"/>
      <c r="S107" s="162"/>
    </row>
    <row r="108" spans="1:19" ht="18" customHeight="1">
      <c r="A108" s="109"/>
      <c r="B108" s="104" t="str">
        <f>IFERROR(VLOOKUP(A108,'دليل الحسابات'!$A$5:$B$141,2,0),"")</f>
        <v/>
      </c>
      <c r="C108" s="104" t="str">
        <f>IFERROR(VLOOKUP(A108,'دليل الحسابات'!$A$5:$C$141,3,0),"")</f>
        <v/>
      </c>
      <c r="D108" s="105">
        <f>IFERROR(VLOOKUP(A108,'الأرصدة الافتتاحية'!$A$5:$C$121,3,0),0)</f>
        <v>0</v>
      </c>
      <c r="E108" s="105">
        <f>IFERROR(VLOOKUP(A108,'الأرصدة الافتتاحية'!$A$5:$D$121,4,0),0)</f>
        <v>0</v>
      </c>
      <c r="F108" s="106"/>
      <c r="G108" s="106"/>
      <c r="H108" s="107" t="str">
        <f t="shared" si="9"/>
        <v/>
      </c>
      <c r="I108" s="107" t="str">
        <f t="shared" si="10"/>
        <v/>
      </c>
      <c r="J108" s="107">
        <f t="shared" si="11"/>
        <v>0</v>
      </c>
      <c r="K108" s="158"/>
      <c r="L108" s="158"/>
      <c r="M108" s="158"/>
      <c r="N108" s="158"/>
      <c r="O108" s="158"/>
      <c r="P108" s="158"/>
      <c r="Q108" s="158"/>
      <c r="R108" s="162"/>
      <c r="S108" s="162"/>
    </row>
    <row r="109" spans="1:19" ht="18" customHeight="1">
      <c r="A109" s="109"/>
      <c r="B109" s="104" t="str">
        <f>IFERROR(VLOOKUP(A109,'دليل الحسابات'!$A$5:$B$141,2,0),"")</f>
        <v/>
      </c>
      <c r="C109" s="104" t="str">
        <f>IFERROR(VLOOKUP(A109,'دليل الحسابات'!$A$5:$C$141,3,0),"")</f>
        <v/>
      </c>
      <c r="D109" s="105">
        <f>IFERROR(VLOOKUP(A109,'الأرصدة الافتتاحية'!$A$5:$C$121,3,0),0)</f>
        <v>0</v>
      </c>
      <c r="E109" s="105">
        <f>IFERROR(VLOOKUP(A109,'الأرصدة الافتتاحية'!$A$5:$D$121,4,0),0)</f>
        <v>0</v>
      </c>
      <c r="F109" s="106"/>
      <c r="G109" s="106"/>
      <c r="H109" s="107" t="str">
        <f t="shared" si="9"/>
        <v/>
      </c>
      <c r="I109" s="107" t="str">
        <f t="shared" si="10"/>
        <v/>
      </c>
      <c r="J109" s="107">
        <f t="shared" si="11"/>
        <v>0</v>
      </c>
      <c r="K109" s="158"/>
      <c r="L109" s="158"/>
      <c r="M109" s="158"/>
      <c r="N109" s="158"/>
      <c r="O109" s="158"/>
      <c r="P109" s="158"/>
      <c r="Q109" s="158"/>
      <c r="R109" s="162"/>
      <c r="S109" s="162"/>
    </row>
    <row r="110" spans="1:19" ht="18" customHeight="1">
      <c r="A110" s="109"/>
      <c r="B110" s="104" t="str">
        <f>IFERROR(VLOOKUP(A110,'دليل الحسابات'!$A$5:$B$141,2,0),"")</f>
        <v/>
      </c>
      <c r="C110" s="104" t="str">
        <f>IFERROR(VLOOKUP(A110,'دليل الحسابات'!$A$5:$C$141,3,0),"")</f>
        <v/>
      </c>
      <c r="D110" s="105">
        <f>IFERROR(VLOOKUP(A110,'الأرصدة الافتتاحية'!$A$5:$C$121,3,0),0)</f>
        <v>0</v>
      </c>
      <c r="E110" s="105">
        <f>IFERROR(VLOOKUP(A110,'الأرصدة الافتتاحية'!$A$5:$D$121,4,0),0)</f>
        <v>0</v>
      </c>
      <c r="F110" s="106"/>
      <c r="G110" s="106"/>
      <c r="H110" s="107" t="str">
        <f t="shared" si="9"/>
        <v/>
      </c>
      <c r="I110" s="107" t="str">
        <f t="shared" si="10"/>
        <v/>
      </c>
      <c r="J110" s="107">
        <f t="shared" si="11"/>
        <v>0</v>
      </c>
      <c r="K110" s="158"/>
      <c r="L110" s="158"/>
      <c r="M110" s="158"/>
      <c r="N110" s="158"/>
      <c r="O110" s="158"/>
      <c r="P110" s="158"/>
      <c r="Q110" s="158"/>
      <c r="R110" s="162"/>
      <c r="S110" s="162"/>
    </row>
    <row r="111" spans="1:19" ht="18" customHeight="1">
      <c r="A111" s="109"/>
      <c r="B111" s="104" t="str">
        <f>IFERROR(VLOOKUP(A111,'دليل الحسابات'!$A$5:$B$141,2,0),"")</f>
        <v/>
      </c>
      <c r="C111" s="104" t="str">
        <f>IFERROR(VLOOKUP(A111,'دليل الحسابات'!$A$5:$C$141,3,0),"")</f>
        <v/>
      </c>
      <c r="D111" s="105">
        <f>IFERROR(VLOOKUP(A111,'الأرصدة الافتتاحية'!$A$5:$C$121,3,0),0)</f>
        <v>0</v>
      </c>
      <c r="E111" s="105">
        <f>IFERROR(VLOOKUP(A111,'الأرصدة الافتتاحية'!$A$5:$D$121,4,0),0)</f>
        <v>0</v>
      </c>
      <c r="F111" s="106"/>
      <c r="G111" s="106"/>
      <c r="H111" s="107" t="str">
        <f t="shared" si="9"/>
        <v/>
      </c>
      <c r="I111" s="107" t="str">
        <f t="shared" si="10"/>
        <v/>
      </c>
      <c r="J111" s="107">
        <f t="shared" si="11"/>
        <v>0</v>
      </c>
      <c r="K111" s="158"/>
      <c r="L111" s="158"/>
      <c r="M111" s="158"/>
      <c r="N111" s="158"/>
      <c r="O111" s="158"/>
      <c r="P111" s="158"/>
      <c r="Q111" s="158"/>
      <c r="R111" s="162"/>
      <c r="S111" s="162"/>
    </row>
    <row r="112" spans="1:19" ht="18" customHeight="1">
      <c r="A112" s="109"/>
      <c r="B112" s="104" t="str">
        <f>IFERROR(VLOOKUP(A112,'دليل الحسابات'!$A$5:$B$141,2,0),"")</f>
        <v/>
      </c>
      <c r="C112" s="104" t="str">
        <f>IFERROR(VLOOKUP(A112,'دليل الحسابات'!$A$5:$C$141,3,0),"")</f>
        <v/>
      </c>
      <c r="D112" s="105">
        <f>IFERROR(VLOOKUP(A112,'الأرصدة الافتتاحية'!$A$5:$C$121,3,0),0)</f>
        <v>0</v>
      </c>
      <c r="E112" s="105">
        <f>IFERROR(VLOOKUP(A112,'الأرصدة الافتتاحية'!$A$5:$D$121,4,0),0)</f>
        <v>0</v>
      </c>
      <c r="F112" s="106"/>
      <c r="G112" s="106"/>
      <c r="H112" s="107" t="str">
        <f t="shared" si="9"/>
        <v/>
      </c>
      <c r="I112" s="107" t="str">
        <f t="shared" si="10"/>
        <v/>
      </c>
      <c r="J112" s="107">
        <f t="shared" si="11"/>
        <v>0</v>
      </c>
      <c r="K112" s="158"/>
      <c r="L112" s="158"/>
      <c r="M112" s="158"/>
      <c r="N112" s="158"/>
      <c r="O112" s="158"/>
      <c r="P112" s="158"/>
      <c r="Q112" s="158"/>
      <c r="R112" s="162"/>
      <c r="S112" s="162"/>
    </row>
    <row r="113" spans="1:19" ht="18" customHeight="1">
      <c r="A113" s="109"/>
      <c r="B113" s="104" t="str">
        <f>IFERROR(VLOOKUP(A113,'دليل الحسابات'!$A$5:$B$141,2,0),"")</f>
        <v/>
      </c>
      <c r="C113" s="104" t="str">
        <f>IFERROR(VLOOKUP(A113,'دليل الحسابات'!$A$5:$C$141,3,0),"")</f>
        <v/>
      </c>
      <c r="D113" s="105">
        <f>IFERROR(VLOOKUP(A113,'الأرصدة الافتتاحية'!$A$5:$C$121,3,0),0)</f>
        <v>0</v>
      </c>
      <c r="E113" s="105">
        <f>IFERROR(VLOOKUP(A113,'الأرصدة الافتتاحية'!$A$5:$D$121,4,0),0)</f>
        <v>0</v>
      </c>
      <c r="F113" s="106"/>
      <c r="G113" s="106"/>
      <c r="H113" s="107" t="str">
        <f t="shared" si="9"/>
        <v/>
      </c>
      <c r="I113" s="107" t="str">
        <f t="shared" si="10"/>
        <v/>
      </c>
      <c r="J113" s="107">
        <f t="shared" si="11"/>
        <v>0</v>
      </c>
      <c r="K113" s="158"/>
      <c r="L113" s="158"/>
      <c r="M113" s="158"/>
      <c r="N113" s="158"/>
      <c r="O113" s="158"/>
      <c r="P113" s="158"/>
      <c r="Q113" s="158"/>
      <c r="R113" s="162"/>
      <c r="S113" s="162"/>
    </row>
    <row r="114" spans="1:19" ht="18" customHeight="1">
      <c r="A114" s="109"/>
      <c r="B114" s="104" t="str">
        <f>IFERROR(VLOOKUP(A114,'دليل الحسابات'!$A$5:$B$141,2,0),"")</f>
        <v/>
      </c>
      <c r="C114" s="104" t="str">
        <f>IFERROR(VLOOKUP(A114,'دليل الحسابات'!$A$5:$C$141,3,0),"")</f>
        <v/>
      </c>
      <c r="D114" s="105">
        <f>IFERROR(VLOOKUP(A114,'الأرصدة الافتتاحية'!$A$5:$C$121,3,0),0)</f>
        <v>0</v>
      </c>
      <c r="E114" s="105">
        <f>IFERROR(VLOOKUP(A114,'الأرصدة الافتتاحية'!$A$5:$D$121,4,0),0)</f>
        <v>0</v>
      </c>
      <c r="F114" s="106"/>
      <c r="G114" s="106"/>
      <c r="H114" s="107" t="str">
        <f t="shared" si="9"/>
        <v/>
      </c>
      <c r="I114" s="107" t="str">
        <f t="shared" si="10"/>
        <v/>
      </c>
      <c r="J114" s="107">
        <f t="shared" si="11"/>
        <v>0</v>
      </c>
      <c r="K114" s="158"/>
      <c r="L114" s="158"/>
      <c r="M114" s="158"/>
      <c r="N114" s="158"/>
      <c r="O114" s="158"/>
      <c r="P114" s="158"/>
      <c r="Q114" s="158"/>
      <c r="R114" s="162"/>
      <c r="S114" s="162"/>
    </row>
    <row r="115" spans="1:19" ht="18" customHeight="1">
      <c r="A115" s="109"/>
      <c r="B115" s="104" t="str">
        <f>IFERROR(VLOOKUP(A115,'دليل الحسابات'!$A$5:$B$141,2,0),"")</f>
        <v/>
      </c>
      <c r="C115" s="104" t="str">
        <f>IFERROR(VLOOKUP(A115,'دليل الحسابات'!$A$5:$C$141,3,0),"")</f>
        <v/>
      </c>
      <c r="D115" s="105">
        <f>IFERROR(VLOOKUP(A115,'الأرصدة الافتتاحية'!$A$5:$C$121,3,0),0)</f>
        <v>0</v>
      </c>
      <c r="E115" s="105">
        <f>IFERROR(VLOOKUP(A115,'الأرصدة الافتتاحية'!$A$5:$D$121,4,0),0)</f>
        <v>0</v>
      </c>
      <c r="F115" s="106"/>
      <c r="G115" s="106"/>
      <c r="H115" s="107" t="str">
        <f t="shared" si="9"/>
        <v/>
      </c>
      <c r="I115" s="107" t="str">
        <f t="shared" si="10"/>
        <v/>
      </c>
      <c r="J115" s="107">
        <f t="shared" si="11"/>
        <v>0</v>
      </c>
      <c r="K115" s="158"/>
      <c r="L115" s="158"/>
      <c r="M115" s="158"/>
      <c r="N115" s="158"/>
      <c r="O115" s="158"/>
      <c r="P115" s="158"/>
      <c r="Q115" s="158"/>
      <c r="R115" s="162"/>
      <c r="S115" s="162"/>
    </row>
    <row r="116" spans="1:19" ht="18" customHeight="1">
      <c r="A116" s="109"/>
      <c r="B116" s="104" t="str">
        <f>IFERROR(VLOOKUP(A116,'دليل الحسابات'!$A$5:$B$141,2,0),"")</f>
        <v/>
      </c>
      <c r="C116" s="104" t="str">
        <f>IFERROR(VLOOKUP(A116,'دليل الحسابات'!$A$5:$C$141,3,0),"")</f>
        <v/>
      </c>
      <c r="D116" s="105">
        <f>IFERROR(VLOOKUP(A116,'الأرصدة الافتتاحية'!$A$5:$C$121,3,0),0)</f>
        <v>0</v>
      </c>
      <c r="E116" s="105">
        <f>IFERROR(VLOOKUP(A116,'الأرصدة الافتتاحية'!$A$5:$D$121,4,0),0)</f>
        <v>0</v>
      </c>
      <c r="F116" s="106"/>
      <c r="G116" s="106"/>
      <c r="H116" s="107" t="str">
        <f t="shared" si="9"/>
        <v/>
      </c>
      <c r="I116" s="107" t="str">
        <f t="shared" si="10"/>
        <v/>
      </c>
      <c r="J116" s="107">
        <f t="shared" si="11"/>
        <v>0</v>
      </c>
      <c r="K116" s="158"/>
      <c r="L116" s="158"/>
      <c r="M116" s="158"/>
      <c r="N116" s="158"/>
      <c r="O116" s="158"/>
      <c r="P116" s="158"/>
      <c r="Q116" s="158"/>
      <c r="R116" s="162"/>
      <c r="S116" s="162"/>
    </row>
    <row r="117" spans="1:19" ht="18" customHeight="1">
      <c r="A117" s="109"/>
      <c r="B117" s="104" t="str">
        <f>IFERROR(VLOOKUP(A117,'دليل الحسابات'!$A$5:$B$141,2,0),"")</f>
        <v/>
      </c>
      <c r="C117" s="104" t="str">
        <f>IFERROR(VLOOKUP(A117,'دليل الحسابات'!$A$5:$C$141,3,0),"")</f>
        <v/>
      </c>
      <c r="D117" s="105">
        <f>IFERROR(VLOOKUP(A117,'الأرصدة الافتتاحية'!$A$5:$C$121,3,0),0)</f>
        <v>0</v>
      </c>
      <c r="E117" s="105">
        <f>IFERROR(VLOOKUP(A117,'الأرصدة الافتتاحية'!$A$5:$D$121,4,0),0)</f>
        <v>0</v>
      </c>
      <c r="F117" s="106"/>
      <c r="G117" s="106"/>
      <c r="H117" s="107" t="str">
        <f t="shared" si="9"/>
        <v/>
      </c>
      <c r="I117" s="107" t="str">
        <f t="shared" si="10"/>
        <v/>
      </c>
      <c r="J117" s="107">
        <f t="shared" si="11"/>
        <v>0</v>
      </c>
      <c r="K117" s="158"/>
      <c r="L117" s="158"/>
      <c r="M117" s="158"/>
      <c r="N117" s="158"/>
      <c r="O117" s="158"/>
      <c r="P117" s="158"/>
      <c r="Q117" s="158"/>
      <c r="R117" s="162"/>
      <c r="S117" s="162"/>
    </row>
    <row r="118" spans="1:19" ht="18" customHeight="1">
      <c r="A118" s="109"/>
      <c r="B118" s="104" t="str">
        <f>IFERROR(VLOOKUP(A118,'دليل الحسابات'!$A$5:$B$141,2,0),"")</f>
        <v/>
      </c>
      <c r="C118" s="104" t="str">
        <f>IFERROR(VLOOKUP(A118,'دليل الحسابات'!$A$5:$C$141,3,0),"")</f>
        <v/>
      </c>
      <c r="D118" s="105">
        <f>IFERROR(VLOOKUP(A118,'الأرصدة الافتتاحية'!$A$5:$C$121,3,0),0)</f>
        <v>0</v>
      </c>
      <c r="E118" s="105">
        <f>IFERROR(VLOOKUP(A118,'الأرصدة الافتتاحية'!$A$5:$D$121,4,0),0)</f>
        <v>0</v>
      </c>
      <c r="F118" s="106"/>
      <c r="G118" s="106"/>
      <c r="H118" s="107" t="str">
        <f t="shared" si="9"/>
        <v/>
      </c>
      <c r="I118" s="107" t="str">
        <f t="shared" si="10"/>
        <v/>
      </c>
      <c r="J118" s="107">
        <f t="shared" si="11"/>
        <v>0</v>
      </c>
      <c r="K118" s="158"/>
      <c r="L118" s="158"/>
      <c r="M118" s="158"/>
      <c r="N118" s="158"/>
      <c r="O118" s="158"/>
      <c r="P118" s="158"/>
      <c r="Q118" s="158"/>
      <c r="R118" s="162"/>
      <c r="S118" s="162"/>
    </row>
    <row r="119" spans="1:19" ht="18" customHeight="1">
      <c r="A119" s="109"/>
      <c r="B119" s="104" t="str">
        <f>IFERROR(VLOOKUP(A119,'دليل الحسابات'!$A$5:$B$141,2,0),"")</f>
        <v/>
      </c>
      <c r="C119" s="104" t="str">
        <f>IFERROR(VLOOKUP(A119,'دليل الحسابات'!$A$5:$C$141,3,0),"")</f>
        <v/>
      </c>
      <c r="D119" s="105">
        <f>IFERROR(VLOOKUP(A119,'الأرصدة الافتتاحية'!$A$5:$C$121,3,0),0)</f>
        <v>0</v>
      </c>
      <c r="E119" s="105">
        <f>IFERROR(VLOOKUP(A119,'الأرصدة الافتتاحية'!$A$5:$D$121,4,0),0)</f>
        <v>0</v>
      </c>
      <c r="F119" s="106"/>
      <c r="G119" s="106"/>
      <c r="H119" s="107"/>
      <c r="I119" s="107" t="str">
        <f t="shared" si="10"/>
        <v/>
      </c>
      <c r="J119" s="107">
        <f t="shared" si="11"/>
        <v>0</v>
      </c>
      <c r="K119" s="158"/>
      <c r="L119" s="158"/>
      <c r="M119" s="158"/>
      <c r="N119" s="158"/>
      <c r="O119" s="158"/>
      <c r="P119" s="158"/>
      <c r="Q119" s="158"/>
      <c r="R119" s="162"/>
      <c r="S119" s="162"/>
    </row>
    <row r="120" spans="1:19" ht="18" customHeight="1">
      <c r="A120" s="109"/>
      <c r="B120" s="104" t="str">
        <f>IFERROR(VLOOKUP(A120,'دليل الحسابات'!$A$5:$B$141,2,0),"")</f>
        <v/>
      </c>
      <c r="C120" s="104" t="str">
        <f>IFERROR(VLOOKUP(A120,'دليل الحسابات'!$A$5:$C$141,3,0),"")</f>
        <v/>
      </c>
      <c r="D120" s="105">
        <f>IFERROR(VLOOKUP(A120,'الأرصدة الافتتاحية'!$A$5:$C$121,3,0),0)</f>
        <v>0</v>
      </c>
      <c r="E120" s="105">
        <f>IFERROR(VLOOKUP(A120,'الأرصدة الافتتاحية'!$A$5:$D$121,4,0),0)</f>
        <v>0</v>
      </c>
      <c r="F120" s="106"/>
      <c r="G120" s="106"/>
      <c r="H120" s="107" t="str">
        <f t="shared" si="9"/>
        <v/>
      </c>
      <c r="I120" s="107" t="str">
        <f t="shared" si="10"/>
        <v/>
      </c>
      <c r="J120" s="107">
        <f t="shared" si="11"/>
        <v>0</v>
      </c>
      <c r="K120" s="158"/>
      <c r="L120" s="158"/>
      <c r="M120" s="158"/>
      <c r="N120" s="158"/>
      <c r="O120" s="158"/>
      <c r="P120" s="158"/>
      <c r="Q120" s="158"/>
      <c r="R120" s="162"/>
      <c r="S120" s="162"/>
    </row>
    <row r="121" spans="1:19" ht="18" customHeight="1">
      <c r="A121" s="109"/>
      <c r="B121" s="104" t="str">
        <f>IFERROR(VLOOKUP(A121,'دليل الحسابات'!$A$5:$B$141,2,0),"")</f>
        <v/>
      </c>
      <c r="C121" s="104" t="str">
        <f>IFERROR(VLOOKUP(A121,'دليل الحسابات'!$A$5:$C$141,3,0),"")</f>
        <v/>
      </c>
      <c r="D121" s="105">
        <f>IFERROR(VLOOKUP(A121,'الأرصدة الافتتاحية'!$A$5:$C$121,3,0),0)</f>
        <v>0</v>
      </c>
      <c r="E121" s="105">
        <f>IFERROR(VLOOKUP(A121,'الأرصدة الافتتاحية'!$A$5:$D$121,4,0),0)</f>
        <v>0</v>
      </c>
      <c r="F121" s="106"/>
      <c r="G121" s="106"/>
      <c r="H121" s="107" t="str">
        <f t="shared" si="9"/>
        <v/>
      </c>
      <c r="I121" s="107" t="str">
        <f t="shared" si="10"/>
        <v/>
      </c>
      <c r="J121" s="107">
        <f t="shared" si="11"/>
        <v>0</v>
      </c>
      <c r="K121" s="100"/>
      <c r="L121" s="100"/>
      <c r="M121" s="100"/>
      <c r="N121" s="100"/>
      <c r="O121" s="100"/>
      <c r="P121" s="100"/>
      <c r="Q121" s="100"/>
    </row>
    <row r="123" spans="1:19" ht="15" customHeight="1">
      <c r="A123" s="57"/>
      <c r="B123" s="58" t="s">
        <v>287</v>
      </c>
      <c r="C123" s="57"/>
      <c r="D123" s="32">
        <f t="shared" ref="D123:J123" si="12">SUM(D5:D121)</f>
        <v>0</v>
      </c>
      <c r="E123" s="32">
        <f t="shared" si="12"/>
        <v>0</v>
      </c>
      <c r="F123" s="32">
        <f t="shared" si="12"/>
        <v>0</v>
      </c>
      <c r="G123" s="32">
        <f t="shared" si="12"/>
        <v>0</v>
      </c>
      <c r="H123" s="32">
        <f t="shared" si="12"/>
        <v>0</v>
      </c>
      <c r="I123" s="32">
        <f t="shared" si="12"/>
        <v>0</v>
      </c>
      <c r="J123" s="32">
        <f t="shared" si="12"/>
        <v>0</v>
      </c>
    </row>
    <row r="124" spans="1:19" ht="15" customHeight="1">
      <c r="B124" s="59" t="s">
        <v>288</v>
      </c>
      <c r="D124" s="60">
        <f>ROUND(D123-E123,2)</f>
        <v>0</v>
      </c>
    </row>
    <row r="125" spans="1:19" ht="15" customHeight="1">
      <c r="B125" s="59" t="s">
        <v>289</v>
      </c>
      <c r="F125" s="61"/>
      <c r="H125" s="60">
        <f>ROUND(H123-I123,2)</f>
        <v>0</v>
      </c>
    </row>
  </sheetData>
  <autoFilter ref="A4:J121" xr:uid="{00000000-0009-0000-0000-000004000000}"/>
  <mergeCells count="11">
    <mergeCell ref="J3:J4"/>
    <mergeCell ref="N6:P6"/>
    <mergeCell ref="N12:P12"/>
    <mergeCell ref="M37:N37"/>
    <mergeCell ref="K51:N51"/>
    <mergeCell ref="A1:I1"/>
    <mergeCell ref="A2:I2"/>
    <mergeCell ref="A3:C3"/>
    <mergeCell ref="D3:E3"/>
    <mergeCell ref="F3:G3"/>
    <mergeCell ref="H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L33"/>
  <sheetViews>
    <sheetView rightToLeft="1" zoomScaleNormal="100" workbookViewId="0">
      <pane ySplit="5" topLeftCell="A6" activePane="bottomLeft" state="frozen"/>
      <selection pane="bottomLeft" activeCell="H5" sqref="H5:H11"/>
    </sheetView>
  </sheetViews>
  <sheetFormatPr defaultColWidth="8.7109375" defaultRowHeight="15"/>
  <cols>
    <col min="1" max="1" width="10" customWidth="1"/>
    <col min="2" max="2" width="30" customWidth="1"/>
    <col min="3" max="3" width="22" customWidth="1"/>
    <col min="4" max="4" width="14" customWidth="1"/>
    <col min="5" max="5" width="18" customWidth="1"/>
    <col min="6" max="6" width="16" customWidth="1"/>
    <col min="7" max="7" width="18" customWidth="1"/>
    <col min="8" max="8" width="20" customWidth="1"/>
    <col min="9" max="9" width="16" customWidth="1"/>
    <col min="10" max="10" width="20" customWidth="1"/>
    <col min="11" max="12" width="18" customWidth="1"/>
  </cols>
  <sheetData>
    <row r="1" spans="1:12" ht="16.5" customHeight="1">
      <c r="A1" s="145" t="s">
        <v>290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2" ht="15" customHeight="1">
      <c r="A2" s="122" t="s">
        <v>291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5" customHeight="1">
      <c r="A3" s="146" t="s">
        <v>292</v>
      </c>
      <c r="B3" s="146"/>
      <c r="C3" s="146"/>
      <c r="D3" s="146"/>
      <c r="E3" s="147" t="s">
        <v>293</v>
      </c>
      <c r="F3" s="147"/>
      <c r="G3" s="147"/>
      <c r="H3" s="148" t="s">
        <v>294</v>
      </c>
      <c r="I3" s="148"/>
      <c r="J3" s="148"/>
      <c r="K3" s="122" t="s">
        <v>295</v>
      </c>
      <c r="L3" s="122"/>
    </row>
    <row r="4" spans="1:12" ht="15" customHeight="1">
      <c r="A4" s="24" t="s">
        <v>296</v>
      </c>
      <c r="B4" s="24" t="s">
        <v>297</v>
      </c>
      <c r="C4" s="24" t="s">
        <v>298</v>
      </c>
      <c r="D4" s="24" t="s">
        <v>299</v>
      </c>
      <c r="E4" s="24" t="s">
        <v>300</v>
      </c>
      <c r="F4" s="24" t="s">
        <v>301</v>
      </c>
      <c r="G4" s="24" t="s">
        <v>302</v>
      </c>
      <c r="H4" s="24" t="s">
        <v>303</v>
      </c>
      <c r="I4" s="24" t="s">
        <v>304</v>
      </c>
      <c r="J4" s="24" t="s">
        <v>305</v>
      </c>
      <c r="K4" s="24" t="s">
        <v>306</v>
      </c>
      <c r="L4" s="24" t="s">
        <v>307</v>
      </c>
    </row>
    <row r="5" spans="1:12" ht="19.5" customHeight="1">
      <c r="A5" s="51"/>
      <c r="B5" s="51"/>
      <c r="C5" s="51"/>
      <c r="D5" s="62"/>
      <c r="E5" s="54"/>
      <c r="F5" s="54"/>
      <c r="G5" s="63">
        <f t="shared" ref="G5:G11" si="0">E5+F5</f>
        <v>0</v>
      </c>
      <c r="H5" s="54"/>
      <c r="I5" s="63">
        <f t="shared" ref="I5:I11" si="1">G5*D5</f>
        <v>0</v>
      </c>
      <c r="J5" s="63">
        <f t="shared" ref="J5:J11" si="2">H5+I5</f>
        <v>0</v>
      </c>
      <c r="K5" s="53">
        <f t="shared" ref="K5:K11" si="3">E5-H5</f>
        <v>0</v>
      </c>
      <c r="L5" s="55">
        <f t="shared" ref="L5:L11" si="4">G5-J5</f>
        <v>0</v>
      </c>
    </row>
    <row r="6" spans="1:12" ht="19.5" customHeight="1">
      <c r="A6" s="51"/>
      <c r="B6" s="51"/>
      <c r="C6" s="51"/>
      <c r="D6" s="62"/>
      <c r="E6" s="54"/>
      <c r="F6" s="54"/>
      <c r="G6" s="63">
        <f t="shared" si="0"/>
        <v>0</v>
      </c>
      <c r="H6" s="54"/>
      <c r="I6" s="63">
        <f t="shared" si="1"/>
        <v>0</v>
      </c>
      <c r="J6" s="63">
        <f t="shared" si="2"/>
        <v>0</v>
      </c>
      <c r="K6" s="53">
        <f t="shared" si="3"/>
        <v>0</v>
      </c>
      <c r="L6" s="55">
        <f t="shared" si="4"/>
        <v>0</v>
      </c>
    </row>
    <row r="7" spans="1:12" ht="19.5" customHeight="1">
      <c r="A7" s="51"/>
      <c r="B7" s="51"/>
      <c r="C7" s="51"/>
      <c r="D7" s="62"/>
      <c r="E7" s="54"/>
      <c r="F7" s="54"/>
      <c r="G7" s="63">
        <f t="shared" si="0"/>
        <v>0</v>
      </c>
      <c r="H7" s="54"/>
      <c r="I7" s="63">
        <f t="shared" si="1"/>
        <v>0</v>
      </c>
      <c r="J7" s="63">
        <f t="shared" si="2"/>
        <v>0</v>
      </c>
      <c r="K7" s="53">
        <f t="shared" si="3"/>
        <v>0</v>
      </c>
      <c r="L7" s="55">
        <f t="shared" si="4"/>
        <v>0</v>
      </c>
    </row>
    <row r="8" spans="1:12" ht="19.5" customHeight="1">
      <c r="A8" s="51"/>
      <c r="B8" s="51"/>
      <c r="C8" s="51"/>
      <c r="D8" s="62"/>
      <c r="E8" s="54"/>
      <c r="F8" s="54"/>
      <c r="G8" s="63">
        <f t="shared" si="0"/>
        <v>0</v>
      </c>
      <c r="H8" s="54"/>
      <c r="I8" s="63">
        <f t="shared" si="1"/>
        <v>0</v>
      </c>
      <c r="J8" s="63">
        <f t="shared" si="2"/>
        <v>0</v>
      </c>
      <c r="K8" s="53">
        <f t="shared" si="3"/>
        <v>0</v>
      </c>
      <c r="L8" s="55">
        <f t="shared" si="4"/>
        <v>0</v>
      </c>
    </row>
    <row r="9" spans="1:12" ht="19.5" customHeight="1">
      <c r="A9" s="51"/>
      <c r="B9" s="51"/>
      <c r="C9" s="51"/>
      <c r="D9" s="62"/>
      <c r="E9" s="54"/>
      <c r="F9" s="54"/>
      <c r="G9" s="63">
        <f t="shared" si="0"/>
        <v>0</v>
      </c>
      <c r="H9" s="54"/>
      <c r="I9" s="63">
        <f t="shared" si="1"/>
        <v>0</v>
      </c>
      <c r="J9" s="63">
        <f t="shared" si="2"/>
        <v>0</v>
      </c>
      <c r="K9" s="53">
        <f t="shared" si="3"/>
        <v>0</v>
      </c>
      <c r="L9" s="55">
        <f t="shared" si="4"/>
        <v>0</v>
      </c>
    </row>
    <row r="10" spans="1:12" ht="19.5" customHeight="1">
      <c r="A10" s="51"/>
      <c r="B10" s="51"/>
      <c r="C10" s="51"/>
      <c r="D10" s="62"/>
      <c r="E10" s="54"/>
      <c r="F10" s="54"/>
      <c r="G10" s="63">
        <f t="shared" si="0"/>
        <v>0</v>
      </c>
      <c r="H10" s="54"/>
      <c r="I10" s="63">
        <f t="shared" si="1"/>
        <v>0</v>
      </c>
      <c r="J10" s="63">
        <f t="shared" si="2"/>
        <v>0</v>
      </c>
      <c r="K10" s="53">
        <f t="shared" si="3"/>
        <v>0</v>
      </c>
      <c r="L10" s="55">
        <f t="shared" si="4"/>
        <v>0</v>
      </c>
    </row>
    <row r="11" spans="1:12" ht="19.5" customHeight="1">
      <c r="A11" s="51"/>
      <c r="B11" s="51"/>
      <c r="C11" s="51"/>
      <c r="D11" s="62"/>
      <c r="E11" s="54"/>
      <c r="F11" s="54"/>
      <c r="G11" s="63">
        <f t="shared" si="0"/>
        <v>0</v>
      </c>
      <c r="H11" s="54"/>
      <c r="I11" s="63">
        <f t="shared" si="1"/>
        <v>0</v>
      </c>
      <c r="J11" s="63">
        <f t="shared" si="2"/>
        <v>0</v>
      </c>
      <c r="K11" s="53">
        <f t="shared" si="3"/>
        <v>0</v>
      </c>
      <c r="L11" s="55">
        <f t="shared" si="4"/>
        <v>0</v>
      </c>
    </row>
    <row r="12" spans="1:12" ht="19.5" customHeight="1">
      <c r="A12" s="56"/>
      <c r="B12" s="56"/>
      <c r="C12" s="56"/>
      <c r="D12" s="62"/>
      <c r="E12" s="54"/>
      <c r="F12" s="54"/>
      <c r="G12" s="63">
        <f t="shared" ref="G12:G31" si="5">IFERROR(E12+F12,0)</f>
        <v>0</v>
      </c>
      <c r="H12" s="54"/>
      <c r="I12" s="63">
        <f t="shared" ref="I12:I31" si="6">IFERROR(G12*D12,0)</f>
        <v>0</v>
      </c>
      <c r="J12" s="63">
        <f t="shared" ref="J12:J31" si="7">IFERROR(H12+I12,0)</f>
        <v>0</v>
      </c>
      <c r="K12" s="53">
        <f t="shared" ref="K12:K31" si="8">IFERROR(E12-H12,0)</f>
        <v>0</v>
      </c>
      <c r="L12" s="55">
        <f t="shared" ref="L12:L31" si="9">IFERROR(G12-J12,0)</f>
        <v>0</v>
      </c>
    </row>
    <row r="13" spans="1:12" ht="19.5" customHeight="1">
      <c r="A13" s="56"/>
      <c r="B13" s="56"/>
      <c r="C13" s="56"/>
      <c r="D13" s="62"/>
      <c r="E13" s="54"/>
      <c r="F13" s="54"/>
      <c r="G13" s="63">
        <f t="shared" si="5"/>
        <v>0</v>
      </c>
      <c r="H13" s="54"/>
      <c r="I13" s="63">
        <f t="shared" si="6"/>
        <v>0</v>
      </c>
      <c r="J13" s="63">
        <f t="shared" si="7"/>
        <v>0</v>
      </c>
      <c r="K13" s="53">
        <f t="shared" si="8"/>
        <v>0</v>
      </c>
      <c r="L13" s="55">
        <f t="shared" si="9"/>
        <v>0</v>
      </c>
    </row>
    <row r="14" spans="1:12" ht="19.5" customHeight="1">
      <c r="A14" s="56"/>
      <c r="B14" s="56"/>
      <c r="C14" s="56"/>
      <c r="D14" s="62"/>
      <c r="E14" s="54"/>
      <c r="F14" s="54"/>
      <c r="G14" s="63">
        <f t="shared" si="5"/>
        <v>0</v>
      </c>
      <c r="H14" s="54"/>
      <c r="I14" s="63">
        <f t="shared" si="6"/>
        <v>0</v>
      </c>
      <c r="J14" s="63">
        <f t="shared" si="7"/>
        <v>0</v>
      </c>
      <c r="K14" s="53">
        <f t="shared" si="8"/>
        <v>0</v>
      </c>
      <c r="L14" s="55">
        <f t="shared" si="9"/>
        <v>0</v>
      </c>
    </row>
    <row r="15" spans="1:12" ht="19.5" customHeight="1">
      <c r="A15" s="56"/>
      <c r="B15" s="56"/>
      <c r="C15" s="56"/>
      <c r="D15" s="62"/>
      <c r="E15" s="54"/>
      <c r="F15" s="54"/>
      <c r="G15" s="63">
        <f t="shared" si="5"/>
        <v>0</v>
      </c>
      <c r="H15" s="54"/>
      <c r="I15" s="63">
        <f t="shared" si="6"/>
        <v>0</v>
      </c>
      <c r="J15" s="63">
        <f t="shared" si="7"/>
        <v>0</v>
      </c>
      <c r="K15" s="53">
        <f t="shared" si="8"/>
        <v>0</v>
      </c>
      <c r="L15" s="55">
        <f t="shared" si="9"/>
        <v>0</v>
      </c>
    </row>
    <row r="16" spans="1:12" ht="19.5" customHeight="1">
      <c r="A16" s="56"/>
      <c r="B16" s="56"/>
      <c r="C16" s="56"/>
      <c r="D16" s="62"/>
      <c r="E16" s="54"/>
      <c r="F16" s="54"/>
      <c r="G16" s="63">
        <f t="shared" si="5"/>
        <v>0</v>
      </c>
      <c r="H16" s="54"/>
      <c r="I16" s="63">
        <f t="shared" si="6"/>
        <v>0</v>
      </c>
      <c r="J16" s="63">
        <f t="shared" si="7"/>
        <v>0</v>
      </c>
      <c r="K16" s="53">
        <f t="shared" si="8"/>
        <v>0</v>
      </c>
      <c r="L16" s="55">
        <f t="shared" si="9"/>
        <v>0</v>
      </c>
    </row>
    <row r="17" spans="1:12" ht="19.5" customHeight="1">
      <c r="A17" s="56"/>
      <c r="B17" s="56"/>
      <c r="C17" s="56"/>
      <c r="D17" s="62"/>
      <c r="E17" s="54"/>
      <c r="F17" s="54"/>
      <c r="G17" s="63">
        <f t="shared" si="5"/>
        <v>0</v>
      </c>
      <c r="H17" s="54"/>
      <c r="I17" s="63">
        <f t="shared" si="6"/>
        <v>0</v>
      </c>
      <c r="J17" s="63">
        <f t="shared" si="7"/>
        <v>0</v>
      </c>
      <c r="K17" s="53">
        <f t="shared" si="8"/>
        <v>0</v>
      </c>
      <c r="L17" s="55">
        <f t="shared" si="9"/>
        <v>0</v>
      </c>
    </row>
    <row r="18" spans="1:12" ht="19.5" customHeight="1">
      <c r="A18" s="56"/>
      <c r="B18" s="56"/>
      <c r="C18" s="56"/>
      <c r="D18" s="62"/>
      <c r="E18" s="54"/>
      <c r="F18" s="54"/>
      <c r="G18" s="63">
        <f t="shared" si="5"/>
        <v>0</v>
      </c>
      <c r="H18" s="54"/>
      <c r="I18" s="63">
        <f t="shared" si="6"/>
        <v>0</v>
      </c>
      <c r="J18" s="63">
        <f t="shared" si="7"/>
        <v>0</v>
      </c>
      <c r="K18" s="53">
        <f t="shared" si="8"/>
        <v>0</v>
      </c>
      <c r="L18" s="55">
        <f t="shared" si="9"/>
        <v>0</v>
      </c>
    </row>
    <row r="19" spans="1:12" ht="19.5" customHeight="1">
      <c r="A19" s="56"/>
      <c r="B19" s="56"/>
      <c r="C19" s="56"/>
      <c r="D19" s="62"/>
      <c r="E19" s="54"/>
      <c r="F19" s="54"/>
      <c r="G19" s="63">
        <f t="shared" si="5"/>
        <v>0</v>
      </c>
      <c r="H19" s="54"/>
      <c r="I19" s="63">
        <f t="shared" si="6"/>
        <v>0</v>
      </c>
      <c r="J19" s="63">
        <f t="shared" si="7"/>
        <v>0</v>
      </c>
      <c r="K19" s="53">
        <f t="shared" si="8"/>
        <v>0</v>
      </c>
      <c r="L19" s="55">
        <f t="shared" si="9"/>
        <v>0</v>
      </c>
    </row>
    <row r="20" spans="1:12" ht="19.5" customHeight="1">
      <c r="A20" s="56"/>
      <c r="B20" s="56"/>
      <c r="C20" s="56"/>
      <c r="D20" s="62"/>
      <c r="E20" s="54"/>
      <c r="F20" s="54"/>
      <c r="G20" s="63">
        <f t="shared" si="5"/>
        <v>0</v>
      </c>
      <c r="H20" s="54"/>
      <c r="I20" s="63">
        <f t="shared" si="6"/>
        <v>0</v>
      </c>
      <c r="J20" s="63">
        <f t="shared" si="7"/>
        <v>0</v>
      </c>
      <c r="K20" s="53">
        <f t="shared" si="8"/>
        <v>0</v>
      </c>
      <c r="L20" s="55">
        <f t="shared" si="9"/>
        <v>0</v>
      </c>
    </row>
    <row r="21" spans="1:12" ht="19.5" customHeight="1">
      <c r="A21" s="56"/>
      <c r="B21" s="56"/>
      <c r="C21" s="56"/>
      <c r="D21" s="62"/>
      <c r="E21" s="54"/>
      <c r="F21" s="54"/>
      <c r="G21" s="63">
        <f t="shared" si="5"/>
        <v>0</v>
      </c>
      <c r="H21" s="54"/>
      <c r="I21" s="63">
        <f t="shared" si="6"/>
        <v>0</v>
      </c>
      <c r="J21" s="63">
        <f t="shared" si="7"/>
        <v>0</v>
      </c>
      <c r="K21" s="53">
        <f t="shared" si="8"/>
        <v>0</v>
      </c>
      <c r="L21" s="55">
        <f t="shared" si="9"/>
        <v>0</v>
      </c>
    </row>
    <row r="22" spans="1:12" ht="19.5" customHeight="1">
      <c r="A22" s="56"/>
      <c r="B22" s="56"/>
      <c r="C22" s="56"/>
      <c r="D22" s="62"/>
      <c r="E22" s="54"/>
      <c r="F22" s="54"/>
      <c r="G22" s="63">
        <f t="shared" si="5"/>
        <v>0</v>
      </c>
      <c r="H22" s="54"/>
      <c r="I22" s="63">
        <f t="shared" si="6"/>
        <v>0</v>
      </c>
      <c r="J22" s="63">
        <f t="shared" si="7"/>
        <v>0</v>
      </c>
      <c r="K22" s="53">
        <f t="shared" si="8"/>
        <v>0</v>
      </c>
      <c r="L22" s="55">
        <f t="shared" si="9"/>
        <v>0</v>
      </c>
    </row>
    <row r="23" spans="1:12" ht="19.5" customHeight="1">
      <c r="A23" s="56"/>
      <c r="B23" s="56"/>
      <c r="C23" s="56"/>
      <c r="D23" s="62"/>
      <c r="E23" s="54"/>
      <c r="F23" s="54"/>
      <c r="G23" s="63">
        <f t="shared" si="5"/>
        <v>0</v>
      </c>
      <c r="H23" s="54"/>
      <c r="I23" s="63">
        <f t="shared" si="6"/>
        <v>0</v>
      </c>
      <c r="J23" s="63">
        <f t="shared" si="7"/>
        <v>0</v>
      </c>
      <c r="K23" s="53">
        <f t="shared" si="8"/>
        <v>0</v>
      </c>
      <c r="L23" s="55">
        <f t="shared" si="9"/>
        <v>0</v>
      </c>
    </row>
    <row r="24" spans="1:12" ht="19.5" customHeight="1">
      <c r="A24" s="56"/>
      <c r="B24" s="56"/>
      <c r="C24" s="56"/>
      <c r="D24" s="62"/>
      <c r="E24" s="54"/>
      <c r="F24" s="54"/>
      <c r="G24" s="63">
        <f t="shared" si="5"/>
        <v>0</v>
      </c>
      <c r="H24" s="54"/>
      <c r="I24" s="63">
        <f t="shared" si="6"/>
        <v>0</v>
      </c>
      <c r="J24" s="63">
        <f t="shared" si="7"/>
        <v>0</v>
      </c>
      <c r="K24" s="53">
        <f t="shared" si="8"/>
        <v>0</v>
      </c>
      <c r="L24" s="55">
        <f t="shared" si="9"/>
        <v>0</v>
      </c>
    </row>
    <row r="25" spans="1:12" ht="19.5" customHeight="1">
      <c r="A25" s="56"/>
      <c r="B25" s="56"/>
      <c r="C25" s="56"/>
      <c r="D25" s="62"/>
      <c r="E25" s="54"/>
      <c r="F25" s="54"/>
      <c r="G25" s="63">
        <f t="shared" si="5"/>
        <v>0</v>
      </c>
      <c r="H25" s="54"/>
      <c r="I25" s="63">
        <f t="shared" si="6"/>
        <v>0</v>
      </c>
      <c r="J25" s="63">
        <f t="shared" si="7"/>
        <v>0</v>
      </c>
      <c r="K25" s="53">
        <f t="shared" si="8"/>
        <v>0</v>
      </c>
      <c r="L25" s="55">
        <f t="shared" si="9"/>
        <v>0</v>
      </c>
    </row>
    <row r="26" spans="1:12" ht="19.5" customHeight="1">
      <c r="A26" s="56"/>
      <c r="B26" s="56"/>
      <c r="C26" s="56"/>
      <c r="D26" s="62"/>
      <c r="E26" s="54"/>
      <c r="F26" s="54"/>
      <c r="G26" s="63">
        <f t="shared" si="5"/>
        <v>0</v>
      </c>
      <c r="H26" s="54"/>
      <c r="I26" s="63">
        <f t="shared" si="6"/>
        <v>0</v>
      </c>
      <c r="J26" s="63">
        <f t="shared" si="7"/>
        <v>0</v>
      </c>
      <c r="K26" s="53">
        <f t="shared" si="8"/>
        <v>0</v>
      </c>
      <c r="L26" s="55">
        <f t="shared" si="9"/>
        <v>0</v>
      </c>
    </row>
    <row r="27" spans="1:12" ht="19.5" customHeight="1">
      <c r="A27" s="56"/>
      <c r="B27" s="56"/>
      <c r="C27" s="56"/>
      <c r="D27" s="62"/>
      <c r="E27" s="54"/>
      <c r="F27" s="54"/>
      <c r="G27" s="63">
        <f t="shared" si="5"/>
        <v>0</v>
      </c>
      <c r="H27" s="54"/>
      <c r="I27" s="63">
        <f t="shared" si="6"/>
        <v>0</v>
      </c>
      <c r="J27" s="63">
        <f t="shared" si="7"/>
        <v>0</v>
      </c>
      <c r="K27" s="53">
        <f t="shared" si="8"/>
        <v>0</v>
      </c>
      <c r="L27" s="55">
        <f t="shared" si="9"/>
        <v>0</v>
      </c>
    </row>
    <row r="28" spans="1:12" ht="19.5" customHeight="1">
      <c r="A28" s="56"/>
      <c r="B28" s="56"/>
      <c r="C28" s="56"/>
      <c r="D28" s="62"/>
      <c r="E28" s="54"/>
      <c r="F28" s="54"/>
      <c r="G28" s="63">
        <f t="shared" si="5"/>
        <v>0</v>
      </c>
      <c r="H28" s="54"/>
      <c r="I28" s="63">
        <f t="shared" si="6"/>
        <v>0</v>
      </c>
      <c r="J28" s="63">
        <f t="shared" si="7"/>
        <v>0</v>
      </c>
      <c r="K28" s="53">
        <f t="shared" si="8"/>
        <v>0</v>
      </c>
      <c r="L28" s="55">
        <f t="shared" si="9"/>
        <v>0</v>
      </c>
    </row>
    <row r="29" spans="1:12" ht="19.5" customHeight="1">
      <c r="A29" s="56"/>
      <c r="B29" s="56"/>
      <c r="C29" s="56"/>
      <c r="D29" s="62"/>
      <c r="E29" s="54"/>
      <c r="F29" s="54"/>
      <c r="G29" s="63">
        <f t="shared" si="5"/>
        <v>0</v>
      </c>
      <c r="H29" s="54"/>
      <c r="I29" s="63">
        <f t="shared" si="6"/>
        <v>0</v>
      </c>
      <c r="J29" s="63">
        <f t="shared" si="7"/>
        <v>0</v>
      </c>
      <c r="K29" s="53">
        <f t="shared" si="8"/>
        <v>0</v>
      </c>
      <c r="L29" s="55">
        <f t="shared" si="9"/>
        <v>0</v>
      </c>
    </row>
    <row r="30" spans="1:12" ht="19.5" customHeight="1">
      <c r="A30" s="56"/>
      <c r="B30" s="56"/>
      <c r="C30" s="56"/>
      <c r="D30" s="62"/>
      <c r="E30" s="54"/>
      <c r="F30" s="54"/>
      <c r="G30" s="63">
        <f t="shared" si="5"/>
        <v>0</v>
      </c>
      <c r="H30" s="54"/>
      <c r="I30" s="63">
        <f t="shared" si="6"/>
        <v>0</v>
      </c>
      <c r="J30" s="63">
        <f t="shared" si="7"/>
        <v>0</v>
      </c>
      <c r="K30" s="53">
        <f t="shared" si="8"/>
        <v>0</v>
      </c>
      <c r="L30" s="55">
        <f t="shared" si="9"/>
        <v>0</v>
      </c>
    </row>
    <row r="31" spans="1:12" ht="19.5" customHeight="1">
      <c r="A31" s="56"/>
      <c r="B31" s="56"/>
      <c r="C31" s="56"/>
      <c r="D31" s="62"/>
      <c r="E31" s="54"/>
      <c r="F31" s="54"/>
      <c r="G31" s="63">
        <f t="shared" si="5"/>
        <v>0</v>
      </c>
      <c r="H31" s="54"/>
      <c r="I31" s="63">
        <f t="shared" si="6"/>
        <v>0</v>
      </c>
      <c r="J31" s="63">
        <f t="shared" si="7"/>
        <v>0</v>
      </c>
      <c r="K31" s="53">
        <f t="shared" si="8"/>
        <v>0</v>
      </c>
      <c r="L31" s="55">
        <f t="shared" si="9"/>
        <v>0</v>
      </c>
    </row>
    <row r="33" spans="1:12" ht="15" customHeight="1">
      <c r="A33" s="57"/>
      <c r="B33" s="58" t="s">
        <v>287</v>
      </c>
      <c r="C33" s="57"/>
      <c r="D33" s="57"/>
      <c r="E33" s="32">
        <f t="shared" ref="E33:L33" si="10">SUM(E5:E31)</f>
        <v>0</v>
      </c>
      <c r="F33" s="32">
        <f t="shared" si="10"/>
        <v>0</v>
      </c>
      <c r="G33" s="32">
        <f t="shared" si="10"/>
        <v>0</v>
      </c>
      <c r="H33" s="32">
        <f t="shared" si="10"/>
        <v>0</v>
      </c>
      <c r="I33" s="32">
        <f t="shared" si="10"/>
        <v>0</v>
      </c>
      <c r="J33" s="32">
        <f t="shared" si="10"/>
        <v>0</v>
      </c>
      <c r="K33" s="32">
        <f t="shared" si="10"/>
        <v>0</v>
      </c>
      <c r="L33" s="32">
        <f t="shared" si="10"/>
        <v>0</v>
      </c>
    </row>
  </sheetData>
  <mergeCells count="6">
    <mergeCell ref="A1:L1"/>
    <mergeCell ref="A2:L2"/>
    <mergeCell ref="A3:D3"/>
    <mergeCell ref="E3:G3"/>
    <mergeCell ref="H3:J3"/>
    <mergeCell ref="K3:L3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2E75B6"/>
  </sheetPr>
  <dimension ref="A1:E124"/>
  <sheetViews>
    <sheetView rightToLeft="1" zoomScaleNormal="100" workbookViewId="0">
      <pane ySplit="5" topLeftCell="A6" activePane="bottomLeft" state="frozen"/>
      <selection pane="bottomLeft" activeCell="A6" sqref="A6"/>
    </sheetView>
  </sheetViews>
  <sheetFormatPr defaultColWidth="8.7109375" defaultRowHeight="15"/>
  <cols>
    <col min="1" max="1" width="14" customWidth="1"/>
    <col min="2" max="2" width="42" customWidth="1"/>
    <col min="3" max="4" width="22" customWidth="1"/>
    <col min="5" max="5" width="24" customWidth="1"/>
  </cols>
  <sheetData>
    <row r="1" spans="1:5" ht="16.5" customHeight="1">
      <c r="A1" s="145" t="s">
        <v>315</v>
      </c>
      <c r="B1" s="145"/>
      <c r="C1" s="145"/>
      <c r="D1" s="145"/>
      <c r="E1" s="145"/>
    </row>
    <row r="2" spans="1:5" ht="12" customHeight="1">
      <c r="A2" s="122" t="s">
        <v>316</v>
      </c>
      <c r="B2" s="122"/>
      <c r="C2" s="122"/>
      <c r="D2" s="122"/>
      <c r="E2" s="122"/>
    </row>
    <row r="3" spans="1:5" ht="11.25" customHeight="1">
      <c r="A3" s="125" t="s">
        <v>317</v>
      </c>
      <c r="B3" s="125"/>
      <c r="C3" s="125"/>
      <c r="D3" s="125"/>
      <c r="E3" s="125"/>
    </row>
    <row r="4" spans="1:5" ht="15" customHeight="1">
      <c r="A4" s="24" t="s">
        <v>318</v>
      </c>
      <c r="B4" s="24" t="s">
        <v>196</v>
      </c>
      <c r="C4" s="24" t="s">
        <v>198</v>
      </c>
      <c r="D4" s="24" t="s">
        <v>199</v>
      </c>
      <c r="E4" s="24" t="s">
        <v>197</v>
      </c>
    </row>
    <row r="5" spans="1:5" ht="18" customHeight="1">
      <c r="A5" s="51"/>
      <c r="B5" s="52" t="str">
        <f>IFERROR(VLOOKUP(A5,'دليل الحسابات'!$A$5:$B$141,2,0),"")</f>
        <v/>
      </c>
      <c r="C5" s="54"/>
      <c r="D5" s="54"/>
      <c r="E5" s="52" t="str">
        <f>IFERROR(VLOOKUP(A5,'دليل الحسابات'!$A$5:$C$141,3,0),"")</f>
        <v/>
      </c>
    </row>
    <row r="6" spans="1:5" ht="18" customHeight="1">
      <c r="A6" s="51"/>
      <c r="B6" s="52" t="str">
        <f>IFERROR(VLOOKUP(A6,'دليل الحسابات'!$A$5:$B$141,2,0),"")</f>
        <v/>
      </c>
      <c r="C6" s="54"/>
      <c r="D6" s="54"/>
      <c r="E6" s="52" t="str">
        <f>IFERROR(VLOOKUP(A6,'دليل الحسابات'!$A$5:$C$141,3,0),"")</f>
        <v/>
      </c>
    </row>
    <row r="7" spans="1:5" ht="18" customHeight="1">
      <c r="A7" s="51"/>
      <c r="B7" s="52" t="str">
        <f>IFERROR(VLOOKUP(A7,'دليل الحسابات'!$A$5:$B$141,2,0),"")</f>
        <v/>
      </c>
      <c r="C7" s="54"/>
      <c r="D7" s="54"/>
      <c r="E7" s="52" t="str">
        <f>IFERROR(VLOOKUP(A7,'دليل الحسابات'!$A$5:$C$141,3,0),"")</f>
        <v/>
      </c>
    </row>
    <row r="8" spans="1:5" ht="18" customHeight="1">
      <c r="A8" s="51"/>
      <c r="B8" s="52" t="str">
        <f>IFERROR(VLOOKUP(A8,'دليل الحسابات'!$A$5:$B$141,2,0),"")</f>
        <v/>
      </c>
      <c r="C8" s="54"/>
      <c r="D8" s="54"/>
      <c r="E8" s="52" t="str">
        <f>IFERROR(VLOOKUP(A8,'دليل الحسابات'!$A$5:$C$141,3,0),"")</f>
        <v/>
      </c>
    </row>
    <row r="9" spans="1:5" ht="18" customHeight="1">
      <c r="A9" s="51"/>
      <c r="B9" s="52" t="str">
        <f>IFERROR(VLOOKUP(A9,'دليل الحسابات'!$A$5:$B$141,2,0),"")</f>
        <v/>
      </c>
      <c r="C9" s="54"/>
      <c r="D9" s="54"/>
      <c r="E9" s="52" t="str">
        <f>IFERROR(VLOOKUP(A9,'دليل الحسابات'!$A$5:$C$141,3,0),"")</f>
        <v/>
      </c>
    </row>
    <row r="10" spans="1:5" ht="18" customHeight="1">
      <c r="A10" s="51"/>
      <c r="B10" s="52" t="str">
        <f>IFERROR(VLOOKUP(A10,'دليل الحسابات'!$A$5:$B$141,2,0),"")</f>
        <v/>
      </c>
      <c r="C10" s="54"/>
      <c r="D10" s="54"/>
      <c r="E10" s="52" t="str">
        <f>IFERROR(VLOOKUP(A10,'دليل الحسابات'!$A$5:$C$141,3,0),"")</f>
        <v/>
      </c>
    </row>
    <row r="11" spans="1:5" ht="18" customHeight="1">
      <c r="A11" s="51"/>
      <c r="B11" s="52" t="str">
        <f>IFERROR(VLOOKUP(A11,'دليل الحسابات'!$A$5:$B$141,2,0),"")</f>
        <v/>
      </c>
      <c r="C11" s="54"/>
      <c r="D11" s="54"/>
      <c r="E11" s="52" t="str">
        <f>IFERROR(VLOOKUP(A11,'دليل الحسابات'!$A$5:$C$141,3,0),"")</f>
        <v/>
      </c>
    </row>
    <row r="12" spans="1:5" ht="18" customHeight="1">
      <c r="A12" s="51"/>
      <c r="B12" s="52" t="str">
        <f>IFERROR(VLOOKUP(A12,'دليل الحسابات'!$A$5:$B$141,2,0),"")</f>
        <v/>
      </c>
      <c r="C12" s="54"/>
      <c r="D12" s="54"/>
      <c r="E12" s="52" t="str">
        <f>IFERROR(VLOOKUP(A12,'دليل الحسابات'!$A$5:$C$141,3,0),"")</f>
        <v/>
      </c>
    </row>
    <row r="13" spans="1:5" ht="18" customHeight="1">
      <c r="A13" s="51"/>
      <c r="B13" s="52" t="str">
        <f>IFERROR(VLOOKUP(A13,'دليل الحسابات'!$A$5:$B$141,2,0),"")</f>
        <v/>
      </c>
      <c r="C13" s="54"/>
      <c r="D13" s="54"/>
      <c r="E13" s="52" t="str">
        <f>IFERROR(VLOOKUP(A13,'دليل الحسابات'!$A$5:$C$141,3,0),"")</f>
        <v/>
      </c>
    </row>
    <row r="14" spans="1:5" ht="18" customHeight="1">
      <c r="A14" s="51"/>
      <c r="B14" s="52" t="str">
        <f>IFERROR(VLOOKUP(A14,'دليل الحسابات'!$A$5:$B$141,2,0),"")</f>
        <v/>
      </c>
      <c r="C14" s="54"/>
      <c r="D14" s="54"/>
      <c r="E14" s="52" t="str">
        <f>IFERROR(VLOOKUP(A14,'دليل الحسابات'!$A$5:$C$141,3,0),"")</f>
        <v/>
      </c>
    </row>
    <row r="15" spans="1:5" ht="18" customHeight="1">
      <c r="A15" s="51"/>
      <c r="B15" s="52" t="str">
        <f>IFERROR(VLOOKUP(A15,'دليل الحسابات'!$A$5:$B$141,2,0),"")</f>
        <v/>
      </c>
      <c r="C15" s="54"/>
      <c r="D15" s="54"/>
      <c r="E15" s="52" t="str">
        <f>IFERROR(VLOOKUP(A15,'دليل الحسابات'!$A$5:$C$141,3,0),"")</f>
        <v/>
      </c>
    </row>
    <row r="16" spans="1:5" ht="18" customHeight="1">
      <c r="A16" s="51"/>
      <c r="B16" s="52" t="str">
        <f>IFERROR(VLOOKUP(A16,'دليل الحسابات'!$A$5:$B$141,2,0),"")</f>
        <v/>
      </c>
      <c r="C16" s="54"/>
      <c r="D16" s="54"/>
      <c r="E16" s="52" t="str">
        <f>IFERROR(VLOOKUP(A16,'دليل الحسابات'!$A$5:$C$141,3,0),"")</f>
        <v/>
      </c>
    </row>
    <row r="17" spans="1:5" ht="18" customHeight="1">
      <c r="A17" s="51"/>
      <c r="B17" s="52" t="str">
        <f>IFERROR(VLOOKUP(A17,'دليل الحسابات'!$A$5:$B$141,2,0),"")</f>
        <v/>
      </c>
      <c r="C17" s="54"/>
      <c r="D17" s="54"/>
      <c r="E17" s="52" t="str">
        <f>IFERROR(VLOOKUP(A17,'دليل الحسابات'!$A$5:$C$141,3,0),"")</f>
        <v/>
      </c>
    </row>
    <row r="18" spans="1:5" ht="18" customHeight="1">
      <c r="A18" s="51"/>
      <c r="B18" s="52" t="str">
        <f>IFERROR(VLOOKUP(A18,'دليل الحسابات'!$A$5:$B$141,2,0),"")</f>
        <v/>
      </c>
      <c r="C18" s="54"/>
      <c r="D18" s="54"/>
      <c r="E18" s="52" t="str">
        <f>IFERROR(VLOOKUP(A18,'دليل الحسابات'!$A$5:$C$141,3,0),"")</f>
        <v/>
      </c>
    </row>
    <row r="19" spans="1:5" ht="18" customHeight="1">
      <c r="A19" s="51"/>
      <c r="B19" s="52" t="str">
        <f>IFERROR(VLOOKUP(A19,'دليل الحسابات'!$A$5:$B$141,2,0),"")</f>
        <v/>
      </c>
      <c r="C19" s="54"/>
      <c r="D19" s="54"/>
      <c r="E19" s="52" t="str">
        <f>IFERROR(VLOOKUP(A19,'دليل الحسابات'!$A$5:$C$141,3,0),"")</f>
        <v/>
      </c>
    </row>
    <row r="20" spans="1:5" ht="18" customHeight="1">
      <c r="A20" s="51"/>
      <c r="B20" s="52" t="str">
        <f>IFERROR(VLOOKUP(A20,'دليل الحسابات'!$A$5:$B$141,2,0),"")</f>
        <v/>
      </c>
      <c r="C20" s="54"/>
      <c r="D20" s="54"/>
      <c r="E20" s="52" t="str">
        <f>IFERROR(VLOOKUP(A20,'دليل الحسابات'!$A$5:$C$141,3,0),"")</f>
        <v/>
      </c>
    </row>
    <row r="21" spans="1:5" ht="18" customHeight="1">
      <c r="A21" s="51"/>
      <c r="B21" s="52" t="str">
        <f>IFERROR(VLOOKUP(A21,'دليل الحسابات'!$A$5:$B$141,2,0),"")</f>
        <v/>
      </c>
      <c r="C21" s="54"/>
      <c r="D21" s="54"/>
      <c r="E21" s="52" t="str">
        <f>IFERROR(VLOOKUP(A21,'دليل الحسابات'!$A$5:$C$141,3,0),"")</f>
        <v/>
      </c>
    </row>
    <row r="22" spans="1:5" ht="18" customHeight="1">
      <c r="A22" s="51"/>
      <c r="B22" s="52" t="str">
        <f>IFERROR(VLOOKUP(A22,'دليل الحسابات'!$A$5:$B$141,2,0),"")</f>
        <v/>
      </c>
      <c r="C22" s="54"/>
      <c r="D22" s="54"/>
      <c r="E22" s="52" t="str">
        <f>IFERROR(VLOOKUP(A22,'دليل الحسابات'!$A$5:$C$141,3,0),"")</f>
        <v/>
      </c>
    </row>
    <row r="23" spans="1:5" ht="18" customHeight="1">
      <c r="A23" s="51"/>
      <c r="B23" s="52" t="str">
        <f>IFERROR(VLOOKUP(A23,'دليل الحسابات'!$A$5:$B$141,2,0),"")</f>
        <v/>
      </c>
      <c r="C23" s="54"/>
      <c r="D23" s="54"/>
      <c r="E23" s="52" t="str">
        <f>IFERROR(VLOOKUP(A23,'دليل الحسابات'!$A$5:$C$141,3,0),"")</f>
        <v/>
      </c>
    </row>
    <row r="24" spans="1:5" ht="18" customHeight="1">
      <c r="A24" s="51"/>
      <c r="B24" s="52" t="str">
        <f>IFERROR(VLOOKUP(A24,'دليل الحسابات'!$A$5:$B$141,2,0),"")</f>
        <v/>
      </c>
      <c r="C24" s="54"/>
      <c r="D24" s="54"/>
      <c r="E24" s="52" t="str">
        <f>IFERROR(VLOOKUP(A24,'دليل الحسابات'!$A$5:$C$141,3,0),"")</f>
        <v/>
      </c>
    </row>
    <row r="25" spans="1:5" ht="18" customHeight="1">
      <c r="A25" s="51"/>
      <c r="B25" s="52" t="str">
        <f>IFERROR(VLOOKUP(A25,'دليل الحسابات'!$A$5:$B$141,2,0),"")</f>
        <v/>
      </c>
      <c r="C25" s="54"/>
      <c r="D25" s="54"/>
      <c r="E25" s="52" t="str">
        <f>IFERROR(VLOOKUP(A25,'دليل الحسابات'!$A$5:$C$141,3,0),"")</f>
        <v/>
      </c>
    </row>
    <row r="26" spans="1:5" ht="18" customHeight="1">
      <c r="A26" s="51"/>
      <c r="B26" s="52" t="str">
        <f>IFERROR(VLOOKUP(A26,'دليل الحسابات'!$A$5:$B$141,2,0),"")</f>
        <v/>
      </c>
      <c r="C26" s="54"/>
      <c r="D26" s="54"/>
      <c r="E26" s="52" t="str">
        <f>IFERROR(VLOOKUP(A26,'دليل الحسابات'!$A$5:$C$141,3,0),"")</f>
        <v/>
      </c>
    </row>
    <row r="27" spans="1:5" ht="18" customHeight="1">
      <c r="A27" s="51"/>
      <c r="B27" s="52" t="str">
        <f>IFERROR(VLOOKUP(A27,'دليل الحسابات'!$A$5:$B$141,2,0),"")</f>
        <v/>
      </c>
      <c r="C27" s="54"/>
      <c r="D27" s="54"/>
      <c r="E27" s="52" t="str">
        <f>IFERROR(VLOOKUP(A27,'دليل الحسابات'!$A$5:$C$141,3,0),"")</f>
        <v/>
      </c>
    </row>
    <row r="28" spans="1:5" ht="18" customHeight="1">
      <c r="A28" s="51"/>
      <c r="B28" s="52" t="str">
        <f>IFERROR(VLOOKUP(A28,'دليل الحسابات'!$A$5:$B$141,2,0),"")</f>
        <v/>
      </c>
      <c r="C28" s="54"/>
      <c r="D28" s="54"/>
      <c r="E28" s="52" t="str">
        <f>IFERROR(VLOOKUP(A28,'دليل الحسابات'!$A$5:$C$141,3,0),"")</f>
        <v/>
      </c>
    </row>
    <row r="29" spans="1:5" ht="18" customHeight="1">
      <c r="A29" s="51"/>
      <c r="B29" s="52" t="str">
        <f>IFERROR(VLOOKUP(A29,'دليل الحسابات'!$A$5:$B$141,2,0),"")</f>
        <v/>
      </c>
      <c r="C29" s="54"/>
      <c r="D29" s="54"/>
      <c r="E29" s="52" t="str">
        <f>IFERROR(VLOOKUP(A29,'دليل الحسابات'!$A$5:$C$141,3,0),"")</f>
        <v/>
      </c>
    </row>
    <row r="30" spans="1:5" ht="18" customHeight="1">
      <c r="A30" s="51"/>
      <c r="B30" s="52" t="str">
        <f>IFERROR(VLOOKUP(A30,'دليل الحسابات'!$A$5:$B$141,2,0),"")</f>
        <v/>
      </c>
      <c r="C30" s="54"/>
      <c r="D30" s="54"/>
      <c r="E30" s="52" t="str">
        <f>IFERROR(VLOOKUP(A30,'دليل الحسابات'!$A$5:$C$141,3,0),"")</f>
        <v/>
      </c>
    </row>
    <row r="31" spans="1:5" ht="18" customHeight="1">
      <c r="A31" s="51"/>
      <c r="B31" s="52" t="str">
        <f>IFERROR(VLOOKUP(A31,'دليل الحسابات'!$A$5:$B$141,2,0),"")</f>
        <v/>
      </c>
      <c r="C31" s="54"/>
      <c r="D31" s="54"/>
      <c r="E31" s="52" t="str">
        <f>IFERROR(VLOOKUP(A31,'دليل الحسابات'!$A$5:$C$141,3,0),"")</f>
        <v/>
      </c>
    </row>
    <row r="32" spans="1:5" ht="18" customHeight="1">
      <c r="A32" s="51"/>
      <c r="B32" s="52" t="str">
        <f>IFERROR(VLOOKUP(A32,'دليل الحسابات'!$A$5:$B$141,2,0),"")</f>
        <v/>
      </c>
      <c r="C32" s="54"/>
      <c r="D32" s="54"/>
      <c r="E32" s="52" t="str">
        <f>IFERROR(VLOOKUP(A32,'دليل الحسابات'!$A$5:$C$141,3,0),"")</f>
        <v/>
      </c>
    </row>
    <row r="33" spans="1:5" ht="18" customHeight="1">
      <c r="A33" s="51"/>
      <c r="B33" s="52" t="str">
        <f>IFERROR(VLOOKUP(A33,'دليل الحسابات'!$A$5:$B$141,2,0),"")</f>
        <v/>
      </c>
      <c r="C33" s="54"/>
      <c r="D33" s="54"/>
      <c r="E33" s="52" t="str">
        <f>IFERROR(VLOOKUP(A33,'دليل الحسابات'!$A$5:$C$141,3,0),"")</f>
        <v/>
      </c>
    </row>
    <row r="34" spans="1:5" ht="18" customHeight="1">
      <c r="A34" s="51"/>
      <c r="B34" s="52" t="str">
        <f>IFERROR(VLOOKUP(A34,'دليل الحسابات'!$A$5:$B$141,2,0),"")</f>
        <v/>
      </c>
      <c r="C34" s="54"/>
      <c r="D34" s="54"/>
      <c r="E34" s="52" t="str">
        <f>IFERROR(VLOOKUP(A34,'دليل الحسابات'!$A$5:$C$141,3,0),"")</f>
        <v/>
      </c>
    </row>
    <row r="35" spans="1:5" ht="18" customHeight="1">
      <c r="A35" s="51"/>
      <c r="B35" s="52" t="str">
        <f>IFERROR(VLOOKUP(A35,'دليل الحسابات'!$A$5:$B$141,2,0),"")</f>
        <v/>
      </c>
      <c r="C35" s="54"/>
      <c r="D35" s="54"/>
      <c r="E35" s="52" t="str">
        <f>IFERROR(VLOOKUP(A35,'دليل الحسابات'!$A$5:$C$141,3,0),"")</f>
        <v/>
      </c>
    </row>
    <row r="36" spans="1:5" ht="18" customHeight="1">
      <c r="A36" s="51"/>
      <c r="B36" s="52" t="str">
        <f>IFERROR(VLOOKUP(A36,'دليل الحسابات'!$A$5:$B$141,2,0),"")</f>
        <v/>
      </c>
      <c r="C36" s="54"/>
      <c r="D36" s="54"/>
      <c r="E36" s="52" t="str">
        <f>IFERROR(VLOOKUP(A36,'دليل الحسابات'!$A$5:$C$141,3,0),"")</f>
        <v/>
      </c>
    </row>
    <row r="37" spans="1:5" ht="18" customHeight="1">
      <c r="A37" s="51"/>
      <c r="B37" s="52" t="str">
        <f>IFERROR(VLOOKUP(A37,'دليل الحسابات'!$A$5:$B$141,2,0),"")</f>
        <v/>
      </c>
      <c r="C37" s="54"/>
      <c r="D37" s="54"/>
      <c r="E37" s="52" t="str">
        <f>IFERROR(VLOOKUP(A37,'دليل الحسابات'!$A$5:$C$141,3,0),"")</f>
        <v/>
      </c>
    </row>
    <row r="38" spans="1:5" ht="18" customHeight="1">
      <c r="A38" s="51"/>
      <c r="B38" s="52" t="str">
        <f>IFERROR(VLOOKUP(A38,'دليل الحسابات'!$A$5:$B$141,2,0),"")</f>
        <v/>
      </c>
      <c r="C38" s="54"/>
      <c r="D38" s="54"/>
      <c r="E38" s="52" t="str">
        <f>IFERROR(VLOOKUP(A38,'دليل الحسابات'!$A$5:$C$141,3,0),"")</f>
        <v/>
      </c>
    </row>
    <row r="39" spans="1:5" ht="18" customHeight="1">
      <c r="A39" s="51"/>
      <c r="B39" s="52" t="str">
        <f>IFERROR(VLOOKUP(A39,'دليل الحسابات'!$A$5:$B$141,2,0),"")</f>
        <v/>
      </c>
      <c r="C39" s="54"/>
      <c r="D39" s="54"/>
      <c r="E39" s="52" t="str">
        <f>IFERROR(VLOOKUP(A39,'دليل الحسابات'!$A$5:$C$141,3,0),"")</f>
        <v/>
      </c>
    </row>
    <row r="40" spans="1:5" ht="18" customHeight="1">
      <c r="A40" s="51"/>
      <c r="B40" s="52" t="str">
        <f>IFERROR(VLOOKUP(A40,'دليل الحسابات'!$A$5:$B$141,2,0),"")</f>
        <v/>
      </c>
      <c r="C40" s="54"/>
      <c r="D40" s="54"/>
      <c r="E40" s="52" t="str">
        <f>IFERROR(VLOOKUP(A40,'دليل الحسابات'!$A$5:$C$141,3,0),"")</f>
        <v/>
      </c>
    </row>
    <row r="41" spans="1:5" ht="18" customHeight="1">
      <c r="A41" s="51"/>
      <c r="B41" s="52" t="str">
        <f>IFERROR(VLOOKUP(A41,'دليل الحسابات'!$A$5:$B$141,2,0),"")</f>
        <v/>
      </c>
      <c r="C41" s="54"/>
      <c r="D41" s="54"/>
      <c r="E41" s="52" t="str">
        <f>IFERROR(VLOOKUP(A41,'دليل الحسابات'!$A$5:$C$141,3,0),"")</f>
        <v/>
      </c>
    </row>
    <row r="42" spans="1:5" ht="18" customHeight="1">
      <c r="A42" s="51"/>
      <c r="B42" s="52" t="str">
        <f>IFERROR(VLOOKUP(A42,'دليل الحسابات'!$A$5:$B$141,2,0),"")</f>
        <v/>
      </c>
      <c r="C42" s="54"/>
      <c r="D42" s="54"/>
      <c r="E42" s="52" t="str">
        <f>IFERROR(VLOOKUP(A42,'دليل الحسابات'!$A$5:$C$141,3,0),"")</f>
        <v/>
      </c>
    </row>
    <row r="43" spans="1:5" ht="18" customHeight="1">
      <c r="A43" s="51"/>
      <c r="B43" s="52" t="str">
        <f>IFERROR(VLOOKUP(A43,'دليل الحسابات'!$A$5:$B$141,2,0),"")</f>
        <v/>
      </c>
      <c r="C43" s="54"/>
      <c r="D43" s="54"/>
      <c r="E43" s="52" t="str">
        <f>IFERROR(VLOOKUP(A43,'دليل الحسابات'!$A$5:$C$141,3,0),"")</f>
        <v/>
      </c>
    </row>
    <row r="44" spans="1:5" ht="18" customHeight="1">
      <c r="A44" s="51"/>
      <c r="B44" s="52" t="str">
        <f>IFERROR(VLOOKUP(A44,'دليل الحسابات'!$A$5:$B$141,2,0),"")</f>
        <v/>
      </c>
      <c r="C44" s="54"/>
      <c r="D44" s="54"/>
      <c r="E44" s="52" t="str">
        <f>IFERROR(VLOOKUP(A44,'دليل الحسابات'!$A$5:$C$141,3,0),"")</f>
        <v/>
      </c>
    </row>
    <row r="45" spans="1:5" ht="18" customHeight="1">
      <c r="A45" s="51"/>
      <c r="B45" s="52" t="str">
        <f>IFERROR(VLOOKUP(A45,'دليل الحسابات'!$A$5:$B$141,2,0),"")</f>
        <v/>
      </c>
      <c r="C45" s="54"/>
      <c r="D45" s="54"/>
      <c r="E45" s="52" t="str">
        <f>IFERROR(VLOOKUP(A45,'دليل الحسابات'!$A$5:$C$141,3,0),"")</f>
        <v/>
      </c>
    </row>
    <row r="46" spans="1:5" ht="18" customHeight="1">
      <c r="A46" s="51"/>
      <c r="B46" s="52" t="str">
        <f>IFERROR(VLOOKUP(A46,'دليل الحسابات'!$A$5:$B$141,2,0),"")</f>
        <v/>
      </c>
      <c r="C46" s="54"/>
      <c r="D46" s="54"/>
      <c r="E46" s="52" t="str">
        <f>IFERROR(VLOOKUP(A46,'دليل الحسابات'!$A$5:$C$141,3,0),"")</f>
        <v/>
      </c>
    </row>
    <row r="47" spans="1:5" ht="18" customHeight="1">
      <c r="A47" s="51"/>
      <c r="B47" s="52" t="str">
        <f>IFERROR(VLOOKUP(A47,'دليل الحسابات'!$A$5:$B$141,2,0),"")</f>
        <v/>
      </c>
      <c r="C47" s="54"/>
      <c r="D47" s="54"/>
      <c r="E47" s="52" t="str">
        <f>IFERROR(VLOOKUP(A47,'دليل الحسابات'!$A$5:$C$141,3,0),"")</f>
        <v/>
      </c>
    </row>
    <row r="48" spans="1:5" ht="18" customHeight="1">
      <c r="A48" s="51"/>
      <c r="B48" s="52" t="str">
        <f>IFERROR(VLOOKUP(A48,'دليل الحسابات'!$A$5:$B$141,2,0),"")</f>
        <v/>
      </c>
      <c r="C48" s="54"/>
      <c r="D48" s="54"/>
      <c r="E48" s="52" t="str">
        <f>IFERROR(VLOOKUP(A48,'دليل الحسابات'!$A$5:$C$141,3,0),"")</f>
        <v/>
      </c>
    </row>
    <row r="49" spans="1:5" ht="18" customHeight="1">
      <c r="A49" s="51"/>
      <c r="B49" s="52" t="str">
        <f>IFERROR(VLOOKUP(A49,'دليل الحسابات'!$A$5:$B$141,2,0),"")</f>
        <v/>
      </c>
      <c r="C49" s="54"/>
      <c r="D49" s="54"/>
      <c r="E49" s="52" t="str">
        <f>IFERROR(VLOOKUP(A49,'دليل الحسابات'!$A$5:$C$141,3,0),"")</f>
        <v/>
      </c>
    </row>
    <row r="50" spans="1:5" ht="18" customHeight="1">
      <c r="A50" s="51"/>
      <c r="B50" s="52" t="str">
        <f>IFERROR(VLOOKUP(A50,'دليل الحسابات'!$A$5:$B$141,2,0),"")</f>
        <v/>
      </c>
      <c r="C50" s="54"/>
      <c r="D50" s="54"/>
      <c r="E50" s="52" t="str">
        <f>IFERROR(VLOOKUP(A50,'دليل الحسابات'!$A$5:$C$141,3,0),"")</f>
        <v/>
      </c>
    </row>
    <row r="51" spans="1:5" ht="18" customHeight="1">
      <c r="A51" s="51"/>
      <c r="B51" s="52" t="str">
        <f>IFERROR(VLOOKUP(A51,'دليل الحسابات'!$A$5:$B$141,2,0),"")</f>
        <v/>
      </c>
      <c r="C51" s="54"/>
      <c r="D51" s="54"/>
      <c r="E51" s="52" t="str">
        <f>IFERROR(VLOOKUP(A51,'دليل الحسابات'!$A$5:$C$141,3,0),"")</f>
        <v/>
      </c>
    </row>
    <row r="52" spans="1:5" ht="18" customHeight="1">
      <c r="A52" s="51"/>
      <c r="B52" s="52" t="str">
        <f>IFERROR(VLOOKUP(A52,'دليل الحسابات'!$A$5:$B$141,2,0),"")</f>
        <v/>
      </c>
      <c r="C52" s="54"/>
      <c r="D52" s="54"/>
      <c r="E52" s="52" t="str">
        <f>IFERROR(VLOOKUP(A52,'دليل الحسابات'!$A$5:$C$141,3,0),"")</f>
        <v/>
      </c>
    </row>
    <row r="53" spans="1:5" ht="18" customHeight="1">
      <c r="A53" s="51"/>
      <c r="B53" s="52" t="str">
        <f>IFERROR(VLOOKUP(A53,'دليل الحسابات'!$A$5:$B$141,2,0),"")</f>
        <v/>
      </c>
      <c r="C53" s="54"/>
      <c r="D53" s="54"/>
      <c r="E53" s="52" t="str">
        <f>IFERROR(VLOOKUP(A53,'دليل الحسابات'!$A$5:$C$141,3,0),"")</f>
        <v/>
      </c>
    </row>
    <row r="54" spans="1:5" ht="18" customHeight="1">
      <c r="A54" s="51"/>
      <c r="B54" s="52" t="str">
        <f>IFERROR(VLOOKUP(A54,'دليل الحسابات'!$A$5:$B$141,2,0),"")</f>
        <v/>
      </c>
      <c r="C54" s="54"/>
      <c r="D54" s="54"/>
      <c r="E54" s="52" t="str">
        <f>IFERROR(VLOOKUP(A54,'دليل الحسابات'!$A$5:$C$141,3,0),"")</f>
        <v/>
      </c>
    </row>
    <row r="55" spans="1:5" ht="18" customHeight="1">
      <c r="A55" s="51"/>
      <c r="B55" s="52" t="str">
        <f>IFERROR(VLOOKUP(A55,'دليل الحسابات'!$A$5:$B$141,2,0),"")</f>
        <v/>
      </c>
      <c r="C55" s="54"/>
      <c r="D55" s="54"/>
      <c r="E55" s="52" t="str">
        <f>IFERROR(VLOOKUP(A55,'دليل الحسابات'!$A$5:$C$141,3,0),"")</f>
        <v/>
      </c>
    </row>
    <row r="56" spans="1:5" ht="18" customHeight="1">
      <c r="A56" s="51"/>
      <c r="B56" s="52" t="str">
        <f>IFERROR(VLOOKUP(A56,'دليل الحسابات'!$A$5:$B$141,2,0),"")</f>
        <v/>
      </c>
      <c r="C56" s="54"/>
      <c r="D56" s="54"/>
      <c r="E56" s="52" t="str">
        <f>IFERROR(VLOOKUP(A56,'دليل الحسابات'!$A$5:$C$141,3,0),"")</f>
        <v/>
      </c>
    </row>
    <row r="57" spans="1:5" ht="18" customHeight="1">
      <c r="A57" s="51"/>
      <c r="B57" s="52" t="str">
        <f>IFERROR(VLOOKUP(A57,'دليل الحسابات'!$A$5:$B$141,2,0),"")</f>
        <v/>
      </c>
      <c r="C57" s="54"/>
      <c r="D57" s="54"/>
      <c r="E57" s="52" t="str">
        <f>IFERROR(VLOOKUP(A57,'دليل الحسابات'!$A$5:$C$141,3,0),"")</f>
        <v/>
      </c>
    </row>
    <row r="58" spans="1:5" ht="18" customHeight="1">
      <c r="A58" s="51"/>
      <c r="B58" s="52" t="str">
        <f>IFERROR(VLOOKUP(A58,'دليل الحسابات'!$A$5:$B$141,2,0),"")</f>
        <v/>
      </c>
      <c r="C58" s="54"/>
      <c r="D58" s="54"/>
      <c r="E58" s="52" t="str">
        <f>IFERROR(VLOOKUP(A58,'دليل الحسابات'!$A$5:$C$141,3,0),"")</f>
        <v/>
      </c>
    </row>
    <row r="59" spans="1:5" ht="18" customHeight="1">
      <c r="A59" s="51"/>
      <c r="B59" s="52" t="str">
        <f>IFERROR(VLOOKUP(A59,'دليل الحسابات'!$A$5:$B$141,2,0),"")</f>
        <v/>
      </c>
      <c r="C59" s="54"/>
      <c r="D59" s="54"/>
      <c r="E59" s="52" t="str">
        <f>IFERROR(VLOOKUP(A59,'دليل الحسابات'!$A$5:$C$141,3,0),"")</f>
        <v/>
      </c>
    </row>
    <row r="60" spans="1:5" ht="18" customHeight="1">
      <c r="A60" s="51"/>
      <c r="B60" s="52" t="str">
        <f>IFERROR(VLOOKUP(A60,'دليل الحسابات'!$A$5:$B$141,2,0),"")</f>
        <v/>
      </c>
      <c r="C60" s="54"/>
      <c r="D60" s="54"/>
      <c r="E60" s="52" t="str">
        <f>IFERROR(VLOOKUP(A60,'دليل الحسابات'!$A$5:$C$141,3,0),"")</f>
        <v/>
      </c>
    </row>
    <row r="61" spans="1:5" ht="18" customHeight="1">
      <c r="A61" s="51"/>
      <c r="B61" s="52" t="str">
        <f>IFERROR(VLOOKUP(A61,'دليل الحسابات'!$A$5:$B$141,2,0),"")</f>
        <v/>
      </c>
      <c r="C61" s="54"/>
      <c r="D61" s="54"/>
      <c r="E61" s="52" t="str">
        <f>IFERROR(VLOOKUP(A61,'دليل الحسابات'!$A$5:$C$141,3,0),"")</f>
        <v/>
      </c>
    </row>
    <row r="62" spans="1:5" ht="18" customHeight="1">
      <c r="A62" s="51"/>
      <c r="B62" s="52" t="str">
        <f>IFERROR(VLOOKUP(A62,'دليل الحسابات'!$A$5:$B$141,2,0),"")</f>
        <v/>
      </c>
      <c r="C62" s="54"/>
      <c r="D62" s="54"/>
      <c r="E62" s="52" t="str">
        <f>IFERROR(VLOOKUP(A62,'دليل الحسابات'!$A$5:$C$141,3,0),"")</f>
        <v/>
      </c>
    </row>
    <row r="63" spans="1:5" ht="18" customHeight="1">
      <c r="A63" s="51"/>
      <c r="B63" s="52" t="str">
        <f>IFERROR(VLOOKUP(A63,'دليل الحسابات'!$A$5:$B$141,2,0),"")</f>
        <v/>
      </c>
      <c r="C63" s="54"/>
      <c r="D63" s="54"/>
      <c r="E63" s="52" t="str">
        <f>IFERROR(VLOOKUP(A63,'دليل الحسابات'!$A$5:$C$141,3,0),"")</f>
        <v/>
      </c>
    </row>
    <row r="64" spans="1:5" ht="18" customHeight="1">
      <c r="A64" s="51"/>
      <c r="B64" s="52" t="str">
        <f>IFERROR(VLOOKUP(A64,'دليل الحسابات'!$A$5:$B$141,2,0),"")</f>
        <v/>
      </c>
      <c r="C64" s="54"/>
      <c r="D64" s="54"/>
      <c r="E64" s="52" t="str">
        <f>IFERROR(VLOOKUP(A64,'دليل الحسابات'!$A$5:$C$141,3,0),"")</f>
        <v/>
      </c>
    </row>
    <row r="65" spans="1:5" ht="18" customHeight="1">
      <c r="A65" s="51"/>
      <c r="B65" s="52" t="str">
        <f>IFERROR(VLOOKUP(A65,'دليل الحسابات'!$A$5:$B$141,2,0),"")</f>
        <v/>
      </c>
      <c r="C65" s="54"/>
      <c r="D65" s="54"/>
      <c r="E65" s="52" t="str">
        <f>IFERROR(VLOOKUP(A65,'دليل الحسابات'!$A$5:$C$141,3,0),"")</f>
        <v/>
      </c>
    </row>
    <row r="66" spans="1:5" ht="18" customHeight="1">
      <c r="A66" s="51"/>
      <c r="B66" s="52" t="str">
        <f>IFERROR(VLOOKUP(A66,'دليل الحسابات'!$A$5:$B$141,2,0),"")</f>
        <v/>
      </c>
      <c r="C66" s="54"/>
      <c r="D66" s="54"/>
      <c r="E66" s="52" t="str">
        <f>IFERROR(VLOOKUP(A66,'دليل الحسابات'!$A$5:$C$141,3,0),"")</f>
        <v/>
      </c>
    </row>
    <row r="67" spans="1:5" ht="18" customHeight="1">
      <c r="A67" s="51"/>
      <c r="B67" s="52" t="str">
        <f>IFERROR(VLOOKUP(A67,'دليل الحسابات'!$A$5:$B$141,2,0),"")</f>
        <v/>
      </c>
      <c r="C67" s="54"/>
      <c r="D67" s="54"/>
      <c r="E67" s="52" t="str">
        <f>IFERROR(VLOOKUP(A67,'دليل الحسابات'!$A$5:$C$141,3,0),"")</f>
        <v/>
      </c>
    </row>
    <row r="68" spans="1:5" ht="18" customHeight="1">
      <c r="A68" s="51"/>
      <c r="B68" s="52" t="str">
        <f>IFERROR(VLOOKUP(A68,'دليل الحسابات'!$A$5:$B$141,2,0),"")</f>
        <v/>
      </c>
      <c r="C68" s="54"/>
      <c r="D68" s="54"/>
      <c r="E68" s="52" t="str">
        <f>IFERROR(VLOOKUP(A68,'دليل الحسابات'!$A$5:$C$141,3,0),"")</f>
        <v/>
      </c>
    </row>
    <row r="69" spans="1:5" ht="18" customHeight="1">
      <c r="A69" s="51"/>
      <c r="B69" s="52" t="str">
        <f>IFERROR(VLOOKUP(A69,'دليل الحسابات'!$A$5:$B$141,2,0),"")</f>
        <v/>
      </c>
      <c r="C69" s="54"/>
      <c r="D69" s="54"/>
      <c r="E69" s="52" t="str">
        <f>IFERROR(VLOOKUP(A69,'دليل الحسابات'!$A$5:$C$141,3,0),"")</f>
        <v/>
      </c>
    </row>
    <row r="70" spans="1:5" ht="18" customHeight="1">
      <c r="A70" s="51"/>
      <c r="B70" s="52" t="str">
        <f>IFERROR(VLOOKUP(A70,'دليل الحسابات'!$A$5:$B$141,2,0),"")</f>
        <v/>
      </c>
      <c r="C70" s="54"/>
      <c r="D70" s="54"/>
      <c r="E70" s="52" t="str">
        <f>IFERROR(VLOOKUP(A70,'دليل الحسابات'!$A$5:$C$141,3,0),"")</f>
        <v/>
      </c>
    </row>
    <row r="71" spans="1:5" ht="18" customHeight="1">
      <c r="A71" s="51"/>
      <c r="B71" s="52" t="str">
        <f>IFERROR(VLOOKUP(A71,'دليل الحسابات'!$A$5:$B$141,2,0),"")</f>
        <v/>
      </c>
      <c r="C71" s="54"/>
      <c r="D71" s="54"/>
      <c r="E71" s="52" t="str">
        <f>IFERROR(VLOOKUP(A71,'دليل الحسابات'!$A$5:$C$141,3,0),"")</f>
        <v/>
      </c>
    </row>
    <row r="72" spans="1:5" ht="18" customHeight="1">
      <c r="A72" s="51"/>
      <c r="B72" s="52" t="str">
        <f>IFERROR(VLOOKUP(A72,'دليل الحسابات'!$A$5:$B$141,2,0),"")</f>
        <v/>
      </c>
      <c r="C72" s="54"/>
      <c r="D72" s="54"/>
      <c r="E72" s="52" t="str">
        <f>IFERROR(VLOOKUP(A72,'دليل الحسابات'!$A$5:$C$141,3,0),"")</f>
        <v/>
      </c>
    </row>
    <row r="73" spans="1:5" ht="18" customHeight="1">
      <c r="A73" s="51"/>
      <c r="B73" s="52" t="str">
        <f>IFERROR(VLOOKUP(A73,'دليل الحسابات'!$A$5:$B$141,2,0),"")</f>
        <v/>
      </c>
      <c r="C73" s="54"/>
      <c r="D73" s="54"/>
      <c r="E73" s="52" t="str">
        <f>IFERROR(VLOOKUP(A73,'دليل الحسابات'!$A$5:$C$141,3,0),"")</f>
        <v/>
      </c>
    </row>
    <row r="74" spans="1:5" ht="18" customHeight="1">
      <c r="A74" s="51"/>
      <c r="B74" s="52" t="str">
        <f>IFERROR(VLOOKUP(A74,'دليل الحسابات'!$A$5:$B$141,2,0),"")</f>
        <v/>
      </c>
      <c r="C74" s="54"/>
      <c r="D74" s="54"/>
      <c r="E74" s="52" t="str">
        <f>IFERROR(VLOOKUP(A74,'دليل الحسابات'!$A$5:$C$141,3,0),"")</f>
        <v/>
      </c>
    </row>
    <row r="75" spans="1:5" ht="18" customHeight="1">
      <c r="A75" s="51"/>
      <c r="B75" s="52" t="str">
        <f>IFERROR(VLOOKUP(A75,'دليل الحسابات'!$A$5:$B$141,2,0),"")</f>
        <v/>
      </c>
      <c r="C75" s="54"/>
      <c r="D75" s="54"/>
      <c r="E75" s="52" t="str">
        <f>IFERROR(VLOOKUP(A75,'دليل الحسابات'!$A$5:$C$141,3,0),"")</f>
        <v/>
      </c>
    </row>
    <row r="76" spans="1:5" ht="18" customHeight="1">
      <c r="A76" s="51"/>
      <c r="B76" s="52" t="str">
        <f>IFERROR(VLOOKUP(A76,'دليل الحسابات'!$A$5:$B$141,2,0),"")</f>
        <v/>
      </c>
      <c r="C76" s="54"/>
      <c r="D76" s="54"/>
      <c r="E76" s="52" t="str">
        <f>IFERROR(VLOOKUP(A76,'دليل الحسابات'!$A$5:$C$141,3,0),"")</f>
        <v/>
      </c>
    </row>
    <row r="77" spans="1:5" ht="18" customHeight="1">
      <c r="A77" s="51"/>
      <c r="B77" s="52" t="str">
        <f>IFERROR(VLOOKUP(A77,'دليل الحسابات'!$A$5:$B$141,2,0),"")</f>
        <v/>
      </c>
      <c r="C77" s="54"/>
      <c r="D77" s="54"/>
      <c r="E77" s="52" t="str">
        <f>IFERROR(VLOOKUP(A77,'دليل الحسابات'!$A$5:$C$141,3,0),"")</f>
        <v/>
      </c>
    </row>
    <row r="78" spans="1:5" ht="18" customHeight="1">
      <c r="A78" s="51"/>
      <c r="B78" s="52" t="str">
        <f>IFERROR(VLOOKUP(A78,'دليل الحسابات'!$A$5:$B$141,2,0),"")</f>
        <v/>
      </c>
      <c r="C78" s="54"/>
      <c r="D78" s="54"/>
      <c r="E78" s="52" t="str">
        <f>IFERROR(VLOOKUP(A78,'دليل الحسابات'!$A$5:$C$141,3,0),"")</f>
        <v/>
      </c>
    </row>
    <row r="79" spans="1:5" ht="18" customHeight="1">
      <c r="A79" s="51"/>
      <c r="B79" s="52" t="str">
        <f>IFERROR(VLOOKUP(A79,'دليل الحسابات'!$A$5:$B$141,2,0),"")</f>
        <v/>
      </c>
      <c r="C79" s="54"/>
      <c r="D79" s="54"/>
      <c r="E79" s="52" t="str">
        <f>IFERROR(VLOOKUP(A79,'دليل الحسابات'!$A$5:$C$141,3,0),"")</f>
        <v/>
      </c>
    </row>
    <row r="80" spans="1:5" ht="18" customHeight="1">
      <c r="A80" s="51"/>
      <c r="B80" s="52" t="str">
        <f>IFERROR(VLOOKUP(A80,'دليل الحسابات'!$A$5:$B$141,2,0),"")</f>
        <v/>
      </c>
      <c r="C80" s="54"/>
      <c r="D80" s="54"/>
      <c r="E80" s="52" t="str">
        <f>IFERROR(VLOOKUP(A80,'دليل الحسابات'!$A$5:$C$141,3,0),"")</f>
        <v/>
      </c>
    </row>
    <row r="81" spans="1:5" ht="18" customHeight="1">
      <c r="A81" s="51"/>
      <c r="B81" s="52" t="str">
        <f>IFERROR(VLOOKUP(A81,'دليل الحسابات'!$A$5:$B$141,2,0),"")</f>
        <v/>
      </c>
      <c r="C81" s="54"/>
      <c r="D81" s="54"/>
      <c r="E81" s="52" t="str">
        <f>IFERROR(VLOOKUP(A81,'دليل الحسابات'!$A$5:$C$141,3,0),"")</f>
        <v/>
      </c>
    </row>
    <row r="82" spans="1:5" ht="18" customHeight="1">
      <c r="A82" s="51"/>
      <c r="B82" s="52" t="str">
        <f>IFERROR(VLOOKUP(A82,'دليل الحسابات'!$A$5:$B$141,2,0),"")</f>
        <v/>
      </c>
      <c r="C82" s="54"/>
      <c r="D82" s="54"/>
      <c r="E82" s="52" t="str">
        <f>IFERROR(VLOOKUP(A82,'دليل الحسابات'!$A$5:$C$141,3,0),"")</f>
        <v/>
      </c>
    </row>
    <row r="83" spans="1:5" ht="18" customHeight="1">
      <c r="A83" s="51"/>
      <c r="B83" s="52" t="str">
        <f>IFERROR(VLOOKUP(A83,'دليل الحسابات'!$A$5:$B$141,2,0),"")</f>
        <v/>
      </c>
      <c r="C83" s="54"/>
      <c r="D83" s="54"/>
      <c r="E83" s="52" t="str">
        <f>IFERROR(VLOOKUP(A83,'دليل الحسابات'!$A$5:$C$141,3,0),"")</f>
        <v/>
      </c>
    </row>
    <row r="84" spans="1:5" ht="18" customHeight="1">
      <c r="A84" s="51"/>
      <c r="B84" s="52" t="str">
        <f>IFERROR(VLOOKUP(A84,'دليل الحسابات'!$A$5:$B$141,2,0),"")</f>
        <v/>
      </c>
      <c r="C84" s="54"/>
      <c r="D84" s="54"/>
      <c r="E84" s="52" t="str">
        <f>IFERROR(VLOOKUP(A84,'دليل الحسابات'!$A$5:$C$141,3,0),"")</f>
        <v/>
      </c>
    </row>
    <row r="85" spans="1:5" ht="18" customHeight="1">
      <c r="A85" s="51"/>
      <c r="B85" s="52" t="str">
        <f>IFERROR(VLOOKUP(A85,'دليل الحسابات'!$A$5:$B$141,2,0),"")</f>
        <v/>
      </c>
      <c r="C85" s="54"/>
      <c r="D85" s="54"/>
      <c r="E85" s="52" t="str">
        <f>IFERROR(VLOOKUP(A85,'دليل الحسابات'!$A$5:$C$141,3,0),"")</f>
        <v/>
      </c>
    </row>
    <row r="86" spans="1:5" ht="18" customHeight="1">
      <c r="A86" s="51"/>
      <c r="B86" s="52" t="str">
        <f>IFERROR(VLOOKUP(A86,'دليل الحسابات'!$A$5:$B$141,2,0),"")</f>
        <v/>
      </c>
      <c r="C86" s="54"/>
      <c r="D86" s="54"/>
      <c r="E86" s="52" t="str">
        <f>IFERROR(VLOOKUP(A86,'دليل الحسابات'!$A$5:$C$141,3,0),"")</f>
        <v/>
      </c>
    </row>
    <row r="87" spans="1:5" ht="18" customHeight="1">
      <c r="A87" s="51"/>
      <c r="B87" s="52" t="str">
        <f>IFERROR(VLOOKUP(A87,'دليل الحسابات'!$A$5:$B$141,2,0),"")</f>
        <v/>
      </c>
      <c r="C87" s="54"/>
      <c r="D87" s="54"/>
      <c r="E87" s="52" t="str">
        <f>IFERROR(VLOOKUP(A87,'دليل الحسابات'!$A$5:$C$141,3,0),"")</f>
        <v/>
      </c>
    </row>
    <row r="88" spans="1:5" ht="18" customHeight="1">
      <c r="A88" s="51"/>
      <c r="B88" s="52" t="str">
        <f>IFERROR(VLOOKUP(A88,'دليل الحسابات'!$A$5:$B$141,2,0),"")</f>
        <v/>
      </c>
      <c r="C88" s="54"/>
      <c r="D88" s="54"/>
      <c r="E88" s="52" t="str">
        <f>IFERROR(VLOOKUP(A88,'دليل الحسابات'!$A$5:$C$141,3,0),"")</f>
        <v/>
      </c>
    </row>
    <row r="89" spans="1:5" ht="18" customHeight="1">
      <c r="A89" s="51"/>
      <c r="B89" s="52" t="str">
        <f>IFERROR(VLOOKUP(A89,'دليل الحسابات'!$A$5:$B$141,2,0),"")</f>
        <v/>
      </c>
      <c r="C89" s="54"/>
      <c r="D89" s="54"/>
      <c r="E89" s="52" t="str">
        <f>IFERROR(VLOOKUP(A89,'دليل الحسابات'!$A$5:$C$141,3,0),"")</f>
        <v/>
      </c>
    </row>
    <row r="90" spans="1:5" ht="18" customHeight="1">
      <c r="A90" s="51"/>
      <c r="B90" s="52" t="str">
        <f>IFERROR(VLOOKUP(A90,'دليل الحسابات'!$A$5:$B$141,2,0),"")</f>
        <v/>
      </c>
      <c r="C90" s="54"/>
      <c r="D90" s="54"/>
      <c r="E90" s="52" t="str">
        <f>IFERROR(VLOOKUP(A90,'دليل الحسابات'!$A$5:$C$141,3,0),"")</f>
        <v/>
      </c>
    </row>
    <row r="91" spans="1:5" ht="18" customHeight="1">
      <c r="A91" s="51"/>
      <c r="B91" s="52" t="str">
        <f>IFERROR(VLOOKUP(A91,'دليل الحسابات'!$A$5:$B$141,2,0),"")</f>
        <v/>
      </c>
      <c r="C91" s="54"/>
      <c r="D91" s="54"/>
      <c r="E91" s="52" t="str">
        <f>IFERROR(VLOOKUP(A91,'دليل الحسابات'!$A$5:$C$141,3,0),"")</f>
        <v/>
      </c>
    </row>
    <row r="92" spans="1:5" ht="18" customHeight="1">
      <c r="A92" s="56"/>
      <c r="B92" s="52" t="str">
        <f>IFERROR(VLOOKUP(A92,'دليل الحسابات'!$A$5:$B$141,2,0),"")</f>
        <v/>
      </c>
      <c r="C92" s="54"/>
      <c r="D92" s="54"/>
      <c r="E92" s="52" t="str">
        <f>IFERROR(VLOOKUP(A92,'دليل الحسابات'!$A$5:$C$141,3,0),"")</f>
        <v/>
      </c>
    </row>
    <row r="93" spans="1:5" ht="18" customHeight="1">
      <c r="A93" s="56"/>
      <c r="B93" s="52" t="str">
        <f>IFERROR(VLOOKUP(A93,'دليل الحسابات'!$A$5:$B$141,2,0),"")</f>
        <v/>
      </c>
      <c r="C93" s="54"/>
      <c r="D93" s="54"/>
      <c r="E93" s="52" t="str">
        <f>IFERROR(VLOOKUP(A93,'دليل الحسابات'!$A$5:$C$141,3,0),"")</f>
        <v/>
      </c>
    </row>
    <row r="94" spans="1:5" ht="18" customHeight="1">
      <c r="A94" s="56"/>
      <c r="B94" s="52" t="str">
        <f>IFERROR(VLOOKUP(A94,'دليل الحسابات'!$A$5:$B$141,2,0),"")</f>
        <v/>
      </c>
      <c r="C94" s="54"/>
      <c r="D94" s="54"/>
      <c r="E94" s="52" t="str">
        <f>IFERROR(VLOOKUP(A94,'دليل الحسابات'!$A$5:$C$141,3,0),"")</f>
        <v/>
      </c>
    </row>
    <row r="95" spans="1:5" ht="18" customHeight="1">
      <c r="A95" s="56"/>
      <c r="B95" s="52" t="str">
        <f>IFERROR(VLOOKUP(A95,'دليل الحسابات'!$A$5:$B$141,2,0),"")</f>
        <v/>
      </c>
      <c r="C95" s="54"/>
      <c r="D95" s="54"/>
      <c r="E95" s="52" t="str">
        <f>IFERROR(VLOOKUP(A95,'دليل الحسابات'!$A$5:$C$141,3,0),"")</f>
        <v/>
      </c>
    </row>
    <row r="96" spans="1:5" ht="18" customHeight="1">
      <c r="A96" s="56"/>
      <c r="B96" s="52" t="str">
        <f>IFERROR(VLOOKUP(A96,'دليل الحسابات'!$A$5:$B$141,2,0),"")</f>
        <v/>
      </c>
      <c r="C96" s="54"/>
      <c r="D96" s="54"/>
      <c r="E96" s="52" t="str">
        <f>IFERROR(VLOOKUP(A96,'دليل الحسابات'!$A$5:$C$141,3,0),"")</f>
        <v/>
      </c>
    </row>
    <row r="97" spans="1:5" ht="18" customHeight="1">
      <c r="A97" s="56"/>
      <c r="B97" s="52" t="str">
        <f>IFERROR(VLOOKUP(A97,'دليل الحسابات'!$A$5:$B$141,2,0),"")</f>
        <v/>
      </c>
      <c r="C97" s="54"/>
      <c r="D97" s="54"/>
      <c r="E97" s="52" t="str">
        <f>IFERROR(VLOOKUP(A97,'دليل الحسابات'!$A$5:$C$141,3,0),"")</f>
        <v/>
      </c>
    </row>
    <row r="98" spans="1:5" ht="18" customHeight="1">
      <c r="A98" s="56"/>
      <c r="B98" s="52" t="str">
        <f>IFERROR(VLOOKUP(A98,'دليل الحسابات'!$A$5:$B$141,2,0),"")</f>
        <v/>
      </c>
      <c r="C98" s="54"/>
      <c r="D98" s="54"/>
      <c r="E98" s="52" t="str">
        <f>IFERROR(VLOOKUP(A98,'دليل الحسابات'!$A$5:$C$141,3,0),"")</f>
        <v/>
      </c>
    </row>
    <row r="99" spans="1:5" ht="18" customHeight="1">
      <c r="A99" s="56"/>
      <c r="B99" s="52" t="str">
        <f>IFERROR(VLOOKUP(A99,'دليل الحسابات'!$A$5:$B$141,2,0),"")</f>
        <v/>
      </c>
      <c r="C99" s="54"/>
      <c r="D99" s="54"/>
      <c r="E99" s="52" t="str">
        <f>IFERROR(VLOOKUP(A99,'دليل الحسابات'!$A$5:$C$141,3,0),"")</f>
        <v/>
      </c>
    </row>
    <row r="100" spans="1:5" ht="18" customHeight="1">
      <c r="A100" s="56"/>
      <c r="B100" s="52" t="str">
        <f>IFERROR(VLOOKUP(A100,'دليل الحسابات'!$A$5:$B$141,2,0),"")</f>
        <v/>
      </c>
      <c r="C100" s="54"/>
      <c r="D100" s="54"/>
      <c r="E100" s="52" t="str">
        <f>IFERROR(VLOOKUP(A100,'دليل الحسابات'!$A$5:$C$141,3,0),"")</f>
        <v/>
      </c>
    </row>
    <row r="101" spans="1:5" ht="18" customHeight="1">
      <c r="A101" s="56"/>
      <c r="B101" s="52" t="str">
        <f>IFERROR(VLOOKUP(A101,'دليل الحسابات'!$A$5:$B$141,2,0),"")</f>
        <v/>
      </c>
      <c r="C101" s="54"/>
      <c r="D101" s="54"/>
      <c r="E101" s="52" t="str">
        <f>IFERROR(VLOOKUP(A101,'دليل الحسابات'!$A$5:$C$141,3,0),"")</f>
        <v/>
      </c>
    </row>
    <row r="102" spans="1:5" ht="18" customHeight="1">
      <c r="A102" s="56"/>
      <c r="B102" s="52" t="str">
        <f>IFERROR(VLOOKUP(A102,'دليل الحسابات'!$A$5:$B$141,2,0),"")</f>
        <v/>
      </c>
      <c r="C102" s="54"/>
      <c r="D102" s="54"/>
      <c r="E102" s="52" t="str">
        <f>IFERROR(VLOOKUP(A102,'دليل الحسابات'!$A$5:$C$141,3,0),"")</f>
        <v/>
      </c>
    </row>
    <row r="103" spans="1:5" ht="18" customHeight="1">
      <c r="A103" s="56"/>
      <c r="B103" s="52" t="str">
        <f>IFERROR(VLOOKUP(A103,'دليل الحسابات'!$A$5:$B$141,2,0),"")</f>
        <v/>
      </c>
      <c r="C103" s="54"/>
      <c r="D103" s="54"/>
      <c r="E103" s="52" t="str">
        <f>IFERROR(VLOOKUP(A103,'دليل الحسابات'!$A$5:$C$141,3,0),"")</f>
        <v/>
      </c>
    </row>
    <row r="104" spans="1:5" ht="18" customHeight="1">
      <c r="A104" s="56"/>
      <c r="B104" s="52" t="str">
        <f>IFERROR(VLOOKUP(A104,'دليل الحسابات'!$A$5:$B$141,2,0),"")</f>
        <v/>
      </c>
      <c r="C104" s="54"/>
      <c r="D104" s="54"/>
      <c r="E104" s="52" t="str">
        <f>IFERROR(VLOOKUP(A104,'دليل الحسابات'!$A$5:$C$141,3,0),"")</f>
        <v/>
      </c>
    </row>
    <row r="105" spans="1:5" ht="18" customHeight="1">
      <c r="A105" s="56"/>
      <c r="B105" s="52" t="str">
        <f>IFERROR(VLOOKUP(A105,'دليل الحسابات'!$A$5:$B$141,2,0),"")</f>
        <v/>
      </c>
      <c r="C105" s="54"/>
      <c r="D105" s="54"/>
      <c r="E105" s="52" t="str">
        <f>IFERROR(VLOOKUP(A105,'دليل الحسابات'!$A$5:$C$141,3,0),"")</f>
        <v/>
      </c>
    </row>
    <row r="106" spans="1:5" ht="18" customHeight="1">
      <c r="A106" s="56"/>
      <c r="B106" s="52" t="str">
        <f>IFERROR(VLOOKUP(A106,'دليل الحسابات'!$A$5:$B$141,2,0),"")</f>
        <v/>
      </c>
      <c r="C106" s="54"/>
      <c r="D106" s="54"/>
      <c r="E106" s="52" t="str">
        <f>IFERROR(VLOOKUP(A106,'دليل الحسابات'!$A$5:$C$141,3,0),"")</f>
        <v/>
      </c>
    </row>
    <row r="107" spans="1:5" ht="18" customHeight="1">
      <c r="A107" s="56"/>
      <c r="B107" s="52" t="str">
        <f>IFERROR(VLOOKUP(A107,'دليل الحسابات'!$A$5:$B$141,2,0),"")</f>
        <v/>
      </c>
      <c r="C107" s="54"/>
      <c r="D107" s="54"/>
      <c r="E107" s="52" t="str">
        <f>IFERROR(VLOOKUP(A107,'دليل الحسابات'!$A$5:$C$141,3,0),"")</f>
        <v/>
      </c>
    </row>
    <row r="108" spans="1:5" ht="18" customHeight="1">
      <c r="A108" s="56"/>
      <c r="B108" s="52" t="str">
        <f>IFERROR(VLOOKUP(A108,'دليل الحسابات'!$A$5:$B$141,2,0),"")</f>
        <v/>
      </c>
      <c r="C108" s="54"/>
      <c r="D108" s="54"/>
      <c r="E108" s="52" t="str">
        <f>IFERROR(VLOOKUP(A108,'دليل الحسابات'!$A$5:$C$141,3,0),"")</f>
        <v/>
      </c>
    </row>
    <row r="109" spans="1:5" ht="18" customHeight="1">
      <c r="A109" s="56"/>
      <c r="B109" s="52" t="str">
        <f>IFERROR(VLOOKUP(A109,'دليل الحسابات'!$A$5:$B$141,2,0),"")</f>
        <v/>
      </c>
      <c r="C109" s="54"/>
      <c r="D109" s="54"/>
      <c r="E109" s="52" t="str">
        <f>IFERROR(VLOOKUP(A109,'دليل الحسابات'!$A$5:$C$141,3,0),"")</f>
        <v/>
      </c>
    </row>
    <row r="110" spans="1:5" ht="18" customHeight="1">
      <c r="A110" s="56"/>
      <c r="B110" s="52" t="str">
        <f>IFERROR(VLOOKUP(A110,'دليل الحسابات'!$A$5:$B$141,2,0),"")</f>
        <v/>
      </c>
      <c r="C110" s="54"/>
      <c r="D110" s="54"/>
      <c r="E110" s="52" t="str">
        <f>IFERROR(VLOOKUP(A110,'دليل الحسابات'!$A$5:$C$141,3,0),"")</f>
        <v/>
      </c>
    </row>
    <row r="111" spans="1:5" ht="18" customHeight="1">
      <c r="A111" s="56"/>
      <c r="B111" s="52" t="str">
        <f>IFERROR(VLOOKUP(A111,'دليل الحسابات'!$A$5:$B$141,2,0),"")</f>
        <v/>
      </c>
      <c r="C111" s="54"/>
      <c r="D111" s="54"/>
      <c r="E111" s="52" t="str">
        <f>IFERROR(VLOOKUP(A111,'دليل الحسابات'!$A$5:$C$141,3,0),"")</f>
        <v/>
      </c>
    </row>
    <row r="112" spans="1:5" ht="18" customHeight="1">
      <c r="A112" s="56"/>
      <c r="B112" s="52" t="str">
        <f>IFERROR(VLOOKUP(A112,'دليل الحسابات'!$A$5:$B$141,2,0),"")</f>
        <v/>
      </c>
      <c r="C112" s="54"/>
      <c r="D112" s="54"/>
      <c r="E112" s="52" t="str">
        <f>IFERROR(VLOOKUP(A112,'دليل الحسابات'!$A$5:$C$141,3,0),"")</f>
        <v/>
      </c>
    </row>
    <row r="113" spans="1:5" ht="18" customHeight="1">
      <c r="A113" s="56"/>
      <c r="B113" s="52" t="str">
        <f>IFERROR(VLOOKUP(A113,'دليل الحسابات'!$A$5:$B$141,2,0),"")</f>
        <v/>
      </c>
      <c r="C113" s="54"/>
      <c r="D113" s="54"/>
      <c r="E113" s="52" t="str">
        <f>IFERROR(VLOOKUP(A113,'دليل الحسابات'!$A$5:$C$141,3,0),"")</f>
        <v/>
      </c>
    </row>
    <row r="114" spans="1:5" ht="18" customHeight="1">
      <c r="A114" s="56"/>
      <c r="B114" s="52" t="str">
        <f>IFERROR(VLOOKUP(A114,'دليل الحسابات'!$A$5:$B$141,2,0),"")</f>
        <v/>
      </c>
      <c r="C114" s="54"/>
      <c r="D114" s="54"/>
      <c r="E114" s="52" t="str">
        <f>IFERROR(VLOOKUP(A114,'دليل الحسابات'!$A$5:$C$141,3,0),"")</f>
        <v/>
      </c>
    </row>
    <row r="115" spans="1:5" ht="18" customHeight="1">
      <c r="A115" s="56"/>
      <c r="B115" s="52" t="str">
        <f>IFERROR(VLOOKUP(A115,'دليل الحسابات'!$A$5:$B$141,2,0),"")</f>
        <v/>
      </c>
      <c r="C115" s="54"/>
      <c r="D115" s="54"/>
      <c r="E115" s="52" t="str">
        <f>IFERROR(VLOOKUP(A115,'دليل الحسابات'!$A$5:$C$141,3,0),"")</f>
        <v/>
      </c>
    </row>
    <row r="116" spans="1:5" ht="18" customHeight="1">
      <c r="A116" s="56"/>
      <c r="B116" s="52" t="str">
        <f>IFERROR(VLOOKUP(A116,'دليل الحسابات'!$A$5:$B$141,2,0),"")</f>
        <v/>
      </c>
      <c r="C116" s="54"/>
      <c r="D116" s="54"/>
      <c r="E116" s="52" t="str">
        <f>IFERROR(VLOOKUP(A116,'دليل الحسابات'!$A$5:$C$141,3,0),"")</f>
        <v/>
      </c>
    </row>
    <row r="117" spans="1:5" ht="18" customHeight="1">
      <c r="A117" s="56"/>
      <c r="B117" s="52" t="str">
        <f>IFERROR(VLOOKUP(A117,'دليل الحسابات'!$A$5:$B$141,2,0),"")</f>
        <v/>
      </c>
      <c r="C117" s="54"/>
      <c r="D117" s="54"/>
      <c r="E117" s="52" t="str">
        <f>IFERROR(VLOOKUP(A117,'دليل الحسابات'!$A$5:$C$141,3,0),"")</f>
        <v/>
      </c>
    </row>
    <row r="118" spans="1:5" ht="18" customHeight="1">
      <c r="A118" s="56"/>
      <c r="B118" s="52" t="str">
        <f>IFERROR(VLOOKUP(A118,'دليل الحسابات'!$A$5:$B$141,2,0),"")</f>
        <v/>
      </c>
      <c r="C118" s="54"/>
      <c r="D118" s="54"/>
      <c r="E118" s="52" t="str">
        <f>IFERROR(VLOOKUP(A118,'دليل الحسابات'!$A$5:$C$141,3,0),"")</f>
        <v/>
      </c>
    </row>
    <row r="119" spans="1:5" ht="18" customHeight="1">
      <c r="A119" s="56"/>
      <c r="B119" s="52" t="str">
        <f>IFERROR(VLOOKUP(A119,'دليل الحسابات'!$A$5:$B$141,2,0),"")</f>
        <v/>
      </c>
      <c r="C119" s="54"/>
      <c r="D119" s="54"/>
      <c r="E119" s="52" t="str">
        <f>IFERROR(VLOOKUP(A119,'دليل الحسابات'!$A$5:$C$141,3,0),"")</f>
        <v/>
      </c>
    </row>
    <row r="120" spans="1:5" ht="18" customHeight="1">
      <c r="A120" s="56"/>
      <c r="B120" s="52" t="str">
        <f>IFERROR(VLOOKUP(A120,'دليل الحسابات'!$A$5:$B$141,2,0),"")</f>
        <v/>
      </c>
      <c r="C120" s="54"/>
      <c r="D120" s="54"/>
      <c r="E120" s="52" t="str">
        <f>IFERROR(VLOOKUP(A120,'دليل الحسابات'!$A$5:$C$141,3,0),"")</f>
        <v/>
      </c>
    </row>
    <row r="121" spans="1:5" ht="18" customHeight="1">
      <c r="A121" s="56"/>
      <c r="B121" s="52" t="str">
        <f>IFERROR(VLOOKUP(A121,'دليل الحسابات'!$A$5:$B$141,2,0),"")</f>
        <v/>
      </c>
      <c r="C121" s="54"/>
      <c r="D121" s="54"/>
      <c r="E121" s="52" t="str">
        <f>IFERROR(VLOOKUP(A121,'دليل الحسابات'!$A$5:$C$141,3,0),"")</f>
        <v/>
      </c>
    </row>
    <row r="123" spans="1:5" ht="15" customHeight="1">
      <c r="A123" s="64"/>
      <c r="B123" s="65" t="s">
        <v>319</v>
      </c>
      <c r="C123" s="32">
        <f>SUM(C5:C121)</f>
        <v>0</v>
      </c>
      <c r="D123" s="32">
        <f>SUM(D5:D121)</f>
        <v>0</v>
      </c>
      <c r="E123" s="64"/>
    </row>
    <row r="124" spans="1:5" ht="15" customHeight="1">
      <c r="B124" s="66" t="s">
        <v>320</v>
      </c>
      <c r="C124" s="60">
        <f>C123-D123</f>
        <v>0</v>
      </c>
      <c r="D124" s="67" t="s">
        <v>321</v>
      </c>
    </row>
  </sheetData>
  <mergeCells count="3">
    <mergeCell ref="A1:E1"/>
    <mergeCell ref="A2:E2"/>
    <mergeCell ref="A3:E3"/>
  </mergeCell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F3864"/>
  </sheetPr>
  <dimension ref="A1:F141"/>
  <sheetViews>
    <sheetView rightToLeft="1" zoomScaleNormal="100" workbookViewId="0">
      <pane ySplit="4" topLeftCell="A32" activePane="bottomLeft" state="frozen"/>
      <selection pane="bottomLeft" activeCell="B80" sqref="B80"/>
    </sheetView>
  </sheetViews>
  <sheetFormatPr defaultColWidth="8.7109375" defaultRowHeight="15"/>
  <cols>
    <col min="1" max="1" width="14" customWidth="1"/>
    <col min="2" max="2" width="40" customWidth="1"/>
    <col min="3" max="3" width="24" customWidth="1"/>
    <col min="4" max="4" width="16" customWidth="1"/>
    <col min="5" max="5" width="8" customWidth="1"/>
    <col min="6" max="6" width="28" customWidth="1"/>
  </cols>
  <sheetData>
    <row r="1" spans="1:6" ht="16.5" customHeight="1">
      <c r="A1" s="145" t="s">
        <v>322</v>
      </c>
      <c r="B1" s="145"/>
      <c r="C1" s="145"/>
      <c r="D1" s="145"/>
      <c r="E1" s="145"/>
      <c r="F1" s="145"/>
    </row>
    <row r="2" spans="1:6" ht="15" customHeight="1">
      <c r="A2" s="122" t="s">
        <v>323</v>
      </c>
      <c r="B2" s="122"/>
      <c r="C2" s="122"/>
      <c r="D2" s="122"/>
      <c r="E2" s="122"/>
      <c r="F2" s="122"/>
    </row>
    <row r="3" spans="1:6" ht="11.25" customHeight="1">
      <c r="A3" s="125" t="s">
        <v>324</v>
      </c>
      <c r="B3" s="125"/>
      <c r="C3" s="125"/>
      <c r="D3" s="125"/>
      <c r="E3" s="125"/>
      <c r="F3" s="125"/>
    </row>
    <row r="4" spans="1:6" ht="15" customHeight="1">
      <c r="A4" s="24" t="s">
        <v>318</v>
      </c>
      <c r="B4" s="24" t="s">
        <v>325</v>
      </c>
      <c r="C4" s="24" t="s">
        <v>326</v>
      </c>
      <c r="D4" s="24" t="s">
        <v>327</v>
      </c>
      <c r="E4" s="24" t="s">
        <v>328</v>
      </c>
      <c r="F4" s="24" t="s">
        <v>94</v>
      </c>
    </row>
    <row r="5" spans="1:6" ht="18" customHeight="1">
      <c r="A5" s="68" t="s">
        <v>200</v>
      </c>
      <c r="B5" s="69" t="s">
        <v>329</v>
      </c>
      <c r="C5" s="69" t="s">
        <v>330</v>
      </c>
      <c r="D5" s="68" t="s">
        <v>198</v>
      </c>
      <c r="E5" s="68" t="s">
        <v>331</v>
      </c>
      <c r="F5" s="69"/>
    </row>
    <row r="6" spans="1:6" ht="18" customHeight="1">
      <c r="A6" s="68" t="s">
        <v>201</v>
      </c>
      <c r="B6" s="69" t="s">
        <v>332</v>
      </c>
      <c r="C6" s="69" t="s">
        <v>330</v>
      </c>
      <c r="D6" s="68" t="s">
        <v>198</v>
      </c>
      <c r="E6" s="68" t="s">
        <v>331</v>
      </c>
      <c r="F6" s="69"/>
    </row>
    <row r="7" spans="1:6" ht="18" customHeight="1">
      <c r="A7" s="68" t="s">
        <v>202</v>
      </c>
      <c r="B7" s="69" t="s">
        <v>333</v>
      </c>
      <c r="C7" s="69" t="s">
        <v>330</v>
      </c>
      <c r="D7" s="68" t="s">
        <v>198</v>
      </c>
      <c r="E7" s="68" t="s">
        <v>331</v>
      </c>
      <c r="F7" s="69"/>
    </row>
    <row r="8" spans="1:6" ht="18" customHeight="1">
      <c r="A8" s="68" t="s">
        <v>203</v>
      </c>
      <c r="B8" s="69" t="s">
        <v>334</v>
      </c>
      <c r="C8" s="69" t="s">
        <v>330</v>
      </c>
      <c r="D8" s="68" t="s">
        <v>198</v>
      </c>
      <c r="E8" s="68" t="s">
        <v>331</v>
      </c>
      <c r="F8" s="69"/>
    </row>
    <row r="9" spans="1:6" ht="18" customHeight="1">
      <c r="A9" s="68" t="s">
        <v>204</v>
      </c>
      <c r="B9" s="69" t="s">
        <v>335</v>
      </c>
      <c r="C9" s="69" t="s">
        <v>330</v>
      </c>
      <c r="D9" s="68" t="s">
        <v>198</v>
      </c>
      <c r="E9" s="68" t="s">
        <v>331</v>
      </c>
      <c r="F9" s="69"/>
    </row>
    <row r="10" spans="1:6" ht="18" customHeight="1">
      <c r="A10" s="68" t="s">
        <v>205</v>
      </c>
      <c r="B10" s="69" t="s">
        <v>336</v>
      </c>
      <c r="C10" s="69" t="s">
        <v>330</v>
      </c>
      <c r="D10" s="68" t="s">
        <v>198</v>
      </c>
      <c r="E10" s="68" t="s">
        <v>331</v>
      </c>
      <c r="F10" s="69"/>
    </row>
    <row r="11" spans="1:6" ht="18" customHeight="1">
      <c r="A11" s="68" t="s">
        <v>206</v>
      </c>
      <c r="B11" s="69" t="s">
        <v>337</v>
      </c>
      <c r="C11" s="69" t="s">
        <v>330</v>
      </c>
      <c r="D11" s="68" t="s">
        <v>198</v>
      </c>
      <c r="E11" s="68" t="s">
        <v>331</v>
      </c>
      <c r="F11" s="69"/>
    </row>
    <row r="12" spans="1:6" ht="18" customHeight="1">
      <c r="A12" s="68" t="s">
        <v>207</v>
      </c>
      <c r="B12" s="69" t="s">
        <v>338</v>
      </c>
      <c r="C12" s="69" t="s">
        <v>330</v>
      </c>
      <c r="D12" s="68" t="s">
        <v>198</v>
      </c>
      <c r="E12" s="68" t="s">
        <v>331</v>
      </c>
      <c r="F12" s="69"/>
    </row>
    <row r="13" spans="1:6" ht="18" customHeight="1">
      <c r="A13" s="68" t="s">
        <v>208</v>
      </c>
      <c r="B13" s="69" t="s">
        <v>339</v>
      </c>
      <c r="C13" s="69" t="s">
        <v>330</v>
      </c>
      <c r="D13" s="68" t="s">
        <v>198</v>
      </c>
      <c r="E13" s="68" t="s">
        <v>331</v>
      </c>
      <c r="F13" s="69"/>
    </row>
    <row r="14" spans="1:6" ht="18" customHeight="1">
      <c r="A14" s="68" t="s">
        <v>209</v>
      </c>
      <c r="B14" s="69" t="s">
        <v>340</v>
      </c>
      <c r="C14" s="69" t="s">
        <v>330</v>
      </c>
      <c r="D14" s="68" t="s">
        <v>198</v>
      </c>
      <c r="E14" s="68" t="s">
        <v>331</v>
      </c>
      <c r="F14" s="69"/>
    </row>
    <row r="15" spans="1:6" ht="18" customHeight="1">
      <c r="A15" s="68" t="s">
        <v>210</v>
      </c>
      <c r="B15" s="69" t="s">
        <v>341</v>
      </c>
      <c r="C15" s="69" t="s">
        <v>330</v>
      </c>
      <c r="D15" s="68" t="s">
        <v>198</v>
      </c>
      <c r="E15" s="68" t="s">
        <v>331</v>
      </c>
      <c r="F15" s="69"/>
    </row>
    <row r="16" spans="1:6" ht="18" customHeight="1">
      <c r="A16" s="68" t="s">
        <v>211</v>
      </c>
      <c r="B16" s="69" t="s">
        <v>342</v>
      </c>
      <c r="C16" s="69" t="s">
        <v>330</v>
      </c>
      <c r="D16" s="68" t="s">
        <v>198</v>
      </c>
      <c r="E16" s="68" t="s">
        <v>331</v>
      </c>
      <c r="F16" s="69"/>
    </row>
    <row r="17" spans="1:6" ht="18" customHeight="1">
      <c r="A17" s="68" t="s">
        <v>212</v>
      </c>
      <c r="B17" s="69" t="s">
        <v>343</v>
      </c>
      <c r="C17" s="69" t="s">
        <v>330</v>
      </c>
      <c r="D17" s="68" t="s">
        <v>198</v>
      </c>
      <c r="E17" s="68" t="s">
        <v>331</v>
      </c>
      <c r="F17" s="69"/>
    </row>
    <row r="18" spans="1:6" ht="18" customHeight="1">
      <c r="A18" s="68" t="s">
        <v>213</v>
      </c>
      <c r="B18" s="69" t="s">
        <v>344</v>
      </c>
      <c r="C18" s="69" t="s">
        <v>330</v>
      </c>
      <c r="D18" s="68" t="s">
        <v>198</v>
      </c>
      <c r="E18" s="68" t="s">
        <v>331</v>
      </c>
      <c r="F18" s="69"/>
    </row>
    <row r="19" spans="1:6" ht="18" customHeight="1">
      <c r="A19" s="68" t="s">
        <v>214</v>
      </c>
      <c r="B19" s="69" t="s">
        <v>345</v>
      </c>
      <c r="C19" s="69" t="s">
        <v>330</v>
      </c>
      <c r="D19" s="68" t="s">
        <v>198</v>
      </c>
      <c r="E19" s="68" t="s">
        <v>331</v>
      </c>
      <c r="F19" s="69"/>
    </row>
    <row r="20" spans="1:6" ht="18" customHeight="1">
      <c r="A20" s="68" t="s">
        <v>215</v>
      </c>
      <c r="B20" s="69" t="s">
        <v>346</v>
      </c>
      <c r="C20" s="69" t="s">
        <v>330</v>
      </c>
      <c r="D20" s="68" t="s">
        <v>198</v>
      </c>
      <c r="E20" s="68" t="s">
        <v>331</v>
      </c>
      <c r="F20" s="69"/>
    </row>
    <row r="21" spans="1:6" ht="18" customHeight="1">
      <c r="A21" s="68" t="s">
        <v>216</v>
      </c>
      <c r="B21" s="69" t="s">
        <v>347</v>
      </c>
      <c r="C21" s="69" t="s">
        <v>330</v>
      </c>
      <c r="D21" s="68" t="s">
        <v>198</v>
      </c>
      <c r="E21" s="68" t="s">
        <v>331</v>
      </c>
      <c r="F21" s="69"/>
    </row>
    <row r="22" spans="1:6" ht="18" customHeight="1">
      <c r="A22" s="68" t="s">
        <v>217</v>
      </c>
      <c r="B22" s="69" t="s">
        <v>348</v>
      </c>
      <c r="C22" s="69" t="s">
        <v>330</v>
      </c>
      <c r="D22" s="68" t="s">
        <v>198</v>
      </c>
      <c r="E22" s="68" t="s">
        <v>331</v>
      </c>
      <c r="F22" s="69"/>
    </row>
    <row r="23" spans="1:6" ht="18" customHeight="1">
      <c r="A23" s="68" t="s">
        <v>218</v>
      </c>
      <c r="B23" s="69" t="s">
        <v>308</v>
      </c>
      <c r="C23" s="69" t="s">
        <v>349</v>
      </c>
      <c r="D23" s="68" t="s">
        <v>198</v>
      </c>
      <c r="E23" s="68" t="s">
        <v>331</v>
      </c>
      <c r="F23" s="69"/>
    </row>
    <row r="24" spans="1:6" ht="18" customHeight="1">
      <c r="A24" s="68" t="s">
        <v>219</v>
      </c>
      <c r="B24" s="69" t="s">
        <v>309</v>
      </c>
      <c r="C24" s="69" t="s">
        <v>349</v>
      </c>
      <c r="D24" s="68" t="s">
        <v>198</v>
      </c>
      <c r="E24" s="68" t="s">
        <v>331</v>
      </c>
      <c r="F24" s="69"/>
    </row>
    <row r="25" spans="1:6" ht="18" customHeight="1">
      <c r="A25" s="68" t="s">
        <v>220</v>
      </c>
      <c r="B25" s="69" t="s">
        <v>310</v>
      </c>
      <c r="C25" s="69" t="s">
        <v>349</v>
      </c>
      <c r="D25" s="68" t="s">
        <v>198</v>
      </c>
      <c r="E25" s="68" t="s">
        <v>331</v>
      </c>
      <c r="F25" s="69"/>
    </row>
    <row r="26" spans="1:6" ht="18" customHeight="1">
      <c r="A26" s="68" t="s">
        <v>221</v>
      </c>
      <c r="B26" s="69" t="s">
        <v>311</v>
      </c>
      <c r="C26" s="69" t="s">
        <v>349</v>
      </c>
      <c r="D26" s="68" t="s">
        <v>198</v>
      </c>
      <c r="E26" s="68" t="s">
        <v>331</v>
      </c>
      <c r="F26" s="69"/>
    </row>
    <row r="27" spans="1:6" ht="18" customHeight="1">
      <c r="A27" s="68" t="s">
        <v>222</v>
      </c>
      <c r="B27" s="69" t="s">
        <v>312</v>
      </c>
      <c r="C27" s="69" t="s">
        <v>349</v>
      </c>
      <c r="D27" s="68" t="s">
        <v>198</v>
      </c>
      <c r="E27" s="68" t="s">
        <v>331</v>
      </c>
      <c r="F27" s="69"/>
    </row>
    <row r="28" spans="1:6" ht="18" customHeight="1">
      <c r="A28" s="68" t="s">
        <v>223</v>
      </c>
      <c r="B28" s="69" t="s">
        <v>313</v>
      </c>
      <c r="C28" s="69" t="s">
        <v>349</v>
      </c>
      <c r="D28" s="68" t="s">
        <v>198</v>
      </c>
      <c r="E28" s="68" t="s">
        <v>331</v>
      </c>
      <c r="F28" s="69"/>
    </row>
    <row r="29" spans="1:6" ht="18" customHeight="1">
      <c r="A29" s="68" t="s">
        <v>224</v>
      </c>
      <c r="B29" s="69" t="s">
        <v>314</v>
      </c>
      <c r="C29" s="69" t="s">
        <v>349</v>
      </c>
      <c r="D29" s="68" t="s">
        <v>198</v>
      </c>
      <c r="E29" s="68" t="s">
        <v>331</v>
      </c>
      <c r="F29" s="69"/>
    </row>
    <row r="30" spans="1:6" ht="18" customHeight="1">
      <c r="A30" s="68" t="s">
        <v>225</v>
      </c>
      <c r="B30" s="69" t="s">
        <v>350</v>
      </c>
      <c r="C30" s="69" t="s">
        <v>349</v>
      </c>
      <c r="D30" s="68" t="s">
        <v>198</v>
      </c>
      <c r="E30" s="68" t="s">
        <v>331</v>
      </c>
      <c r="F30" s="69"/>
    </row>
    <row r="31" spans="1:6" ht="18" customHeight="1">
      <c r="A31" s="68" t="s">
        <v>226</v>
      </c>
      <c r="B31" s="69" t="s">
        <v>351</v>
      </c>
      <c r="C31" s="69" t="s">
        <v>349</v>
      </c>
      <c r="D31" s="68" t="s">
        <v>198</v>
      </c>
      <c r="E31" s="68" t="s">
        <v>331</v>
      </c>
      <c r="F31" s="69"/>
    </row>
    <row r="32" spans="1:6" ht="18" customHeight="1">
      <c r="A32" s="68" t="s">
        <v>227</v>
      </c>
      <c r="B32" s="69" t="s">
        <v>352</v>
      </c>
      <c r="C32" s="69" t="s">
        <v>349</v>
      </c>
      <c r="D32" s="68" t="s">
        <v>198</v>
      </c>
      <c r="E32" s="68" t="s">
        <v>331</v>
      </c>
      <c r="F32" s="69"/>
    </row>
    <row r="33" spans="1:6" ht="18" customHeight="1">
      <c r="A33" s="68" t="s">
        <v>228</v>
      </c>
      <c r="B33" s="69" t="s">
        <v>353</v>
      </c>
      <c r="C33" s="69" t="s">
        <v>349</v>
      </c>
      <c r="D33" s="68" t="s">
        <v>198</v>
      </c>
      <c r="E33" s="68" t="s">
        <v>331</v>
      </c>
      <c r="F33" s="69"/>
    </row>
    <row r="34" spans="1:6" ht="18" customHeight="1">
      <c r="A34" s="68" t="s">
        <v>229</v>
      </c>
      <c r="B34" s="69" t="s">
        <v>354</v>
      </c>
      <c r="C34" s="69" t="s">
        <v>349</v>
      </c>
      <c r="D34" s="68" t="s">
        <v>198</v>
      </c>
      <c r="E34" s="68" t="s">
        <v>331</v>
      </c>
      <c r="F34" s="69"/>
    </row>
    <row r="35" spans="1:6" ht="18" customHeight="1">
      <c r="A35" s="68" t="s">
        <v>230</v>
      </c>
      <c r="B35" s="69" t="s">
        <v>355</v>
      </c>
      <c r="C35" s="69" t="s">
        <v>349</v>
      </c>
      <c r="D35" s="68" t="s">
        <v>198</v>
      </c>
      <c r="E35" s="68" t="s">
        <v>331</v>
      </c>
      <c r="F35" s="69"/>
    </row>
    <row r="36" spans="1:6" ht="18" customHeight="1">
      <c r="A36" s="68" t="s">
        <v>231</v>
      </c>
      <c r="B36" s="69" t="s">
        <v>356</v>
      </c>
      <c r="C36" s="69" t="s">
        <v>349</v>
      </c>
      <c r="D36" s="68" t="s">
        <v>198</v>
      </c>
      <c r="E36" s="68" t="s">
        <v>331</v>
      </c>
      <c r="F36" s="69"/>
    </row>
    <row r="37" spans="1:6" ht="18" customHeight="1">
      <c r="A37" s="68" t="s">
        <v>232</v>
      </c>
      <c r="B37" s="69" t="s">
        <v>357</v>
      </c>
      <c r="C37" s="69" t="s">
        <v>358</v>
      </c>
      <c r="D37" s="68" t="s">
        <v>199</v>
      </c>
      <c r="E37" s="68" t="s">
        <v>331</v>
      </c>
      <c r="F37" s="69"/>
    </row>
    <row r="38" spans="1:6" ht="18" customHeight="1">
      <c r="A38" s="68" t="s">
        <v>233</v>
      </c>
      <c r="B38" s="69" t="s">
        <v>359</v>
      </c>
      <c r="C38" s="69" t="s">
        <v>358</v>
      </c>
      <c r="D38" s="68" t="s">
        <v>199</v>
      </c>
      <c r="E38" s="68" t="s">
        <v>331</v>
      </c>
      <c r="F38" s="69"/>
    </row>
    <row r="39" spans="1:6" ht="18" customHeight="1">
      <c r="A39" s="68" t="s">
        <v>234</v>
      </c>
      <c r="B39" s="69" t="s">
        <v>360</v>
      </c>
      <c r="C39" s="69" t="s">
        <v>358</v>
      </c>
      <c r="D39" s="68" t="s">
        <v>199</v>
      </c>
      <c r="E39" s="68" t="s">
        <v>331</v>
      </c>
      <c r="F39" s="69"/>
    </row>
    <row r="40" spans="1:6" ht="18" customHeight="1">
      <c r="A40" s="68" t="s">
        <v>235</v>
      </c>
      <c r="B40" s="69" t="s">
        <v>361</v>
      </c>
      <c r="C40" s="69" t="s">
        <v>358</v>
      </c>
      <c r="D40" s="68" t="s">
        <v>199</v>
      </c>
      <c r="E40" s="68" t="s">
        <v>331</v>
      </c>
      <c r="F40" s="69"/>
    </row>
    <row r="41" spans="1:6" ht="18" customHeight="1">
      <c r="A41" s="68" t="s">
        <v>236</v>
      </c>
      <c r="B41" s="69" t="s">
        <v>362</v>
      </c>
      <c r="C41" s="69" t="s">
        <v>358</v>
      </c>
      <c r="D41" s="68" t="s">
        <v>199</v>
      </c>
      <c r="E41" s="68" t="s">
        <v>331</v>
      </c>
      <c r="F41" s="69"/>
    </row>
    <row r="42" spans="1:6" ht="18" customHeight="1">
      <c r="A42" s="68" t="s">
        <v>237</v>
      </c>
      <c r="B42" s="69" t="s">
        <v>363</v>
      </c>
      <c r="C42" s="69" t="s">
        <v>358</v>
      </c>
      <c r="D42" s="68" t="s">
        <v>199</v>
      </c>
      <c r="E42" s="68" t="s">
        <v>331</v>
      </c>
      <c r="F42" s="69"/>
    </row>
    <row r="43" spans="1:6" ht="18" customHeight="1">
      <c r="A43" s="68" t="s">
        <v>238</v>
      </c>
      <c r="B43" s="69" t="s">
        <v>364</v>
      </c>
      <c r="C43" s="69" t="s">
        <v>358</v>
      </c>
      <c r="D43" s="68" t="s">
        <v>199</v>
      </c>
      <c r="E43" s="68" t="s">
        <v>331</v>
      </c>
      <c r="F43" s="69"/>
    </row>
    <row r="44" spans="1:6" ht="18" customHeight="1">
      <c r="A44" s="68" t="s">
        <v>239</v>
      </c>
      <c r="B44" s="69" t="s">
        <v>365</v>
      </c>
      <c r="C44" s="69" t="s">
        <v>358</v>
      </c>
      <c r="D44" s="68" t="s">
        <v>199</v>
      </c>
      <c r="E44" s="68" t="s">
        <v>331</v>
      </c>
      <c r="F44" s="69"/>
    </row>
    <row r="45" spans="1:6" ht="18" customHeight="1">
      <c r="A45" s="68" t="s">
        <v>240</v>
      </c>
      <c r="B45" s="69" t="s">
        <v>366</v>
      </c>
      <c r="C45" s="69" t="s">
        <v>358</v>
      </c>
      <c r="D45" s="68" t="s">
        <v>199</v>
      </c>
      <c r="E45" s="68" t="s">
        <v>331</v>
      </c>
      <c r="F45" s="69"/>
    </row>
    <row r="46" spans="1:6" ht="18" customHeight="1">
      <c r="A46" s="68" t="s">
        <v>241</v>
      </c>
      <c r="B46" s="69" t="s">
        <v>367</v>
      </c>
      <c r="C46" s="69" t="s">
        <v>358</v>
      </c>
      <c r="D46" s="68" t="s">
        <v>199</v>
      </c>
      <c r="E46" s="68" t="s">
        <v>331</v>
      </c>
      <c r="F46" s="69"/>
    </row>
    <row r="47" spans="1:6" ht="18" customHeight="1">
      <c r="A47" s="68" t="s">
        <v>242</v>
      </c>
      <c r="B47" s="69" t="s">
        <v>368</v>
      </c>
      <c r="C47" s="69" t="s">
        <v>358</v>
      </c>
      <c r="D47" s="68" t="s">
        <v>199</v>
      </c>
      <c r="E47" s="68" t="s">
        <v>331</v>
      </c>
      <c r="F47" s="69"/>
    </row>
    <row r="48" spans="1:6" ht="18" customHeight="1">
      <c r="A48" s="68" t="s">
        <v>243</v>
      </c>
      <c r="B48" s="69" t="s">
        <v>369</v>
      </c>
      <c r="C48" s="69" t="s">
        <v>370</v>
      </c>
      <c r="D48" s="68" t="s">
        <v>199</v>
      </c>
      <c r="E48" s="68" t="s">
        <v>331</v>
      </c>
      <c r="F48" s="69"/>
    </row>
    <row r="49" spans="1:6" ht="18" customHeight="1">
      <c r="A49" s="68" t="s">
        <v>244</v>
      </c>
      <c r="B49" s="69" t="s">
        <v>371</v>
      </c>
      <c r="C49" s="69" t="s">
        <v>370</v>
      </c>
      <c r="D49" s="68" t="s">
        <v>199</v>
      </c>
      <c r="E49" s="68" t="s">
        <v>331</v>
      </c>
      <c r="F49" s="69"/>
    </row>
    <row r="50" spans="1:6" ht="18" customHeight="1">
      <c r="A50" s="68" t="s">
        <v>245</v>
      </c>
      <c r="B50" s="69" t="s">
        <v>372</v>
      </c>
      <c r="C50" s="69" t="s">
        <v>370</v>
      </c>
      <c r="D50" s="68" t="s">
        <v>199</v>
      </c>
      <c r="E50" s="68" t="s">
        <v>331</v>
      </c>
      <c r="F50" s="69"/>
    </row>
    <row r="51" spans="1:6" ht="18" customHeight="1">
      <c r="A51" s="68" t="s">
        <v>246</v>
      </c>
      <c r="B51" s="69" t="s">
        <v>373</v>
      </c>
      <c r="C51" s="69" t="s">
        <v>374</v>
      </c>
      <c r="D51" s="68" t="s">
        <v>199</v>
      </c>
      <c r="E51" s="68" t="s">
        <v>331</v>
      </c>
      <c r="F51" s="69"/>
    </row>
    <row r="52" spans="1:6" ht="18" customHeight="1">
      <c r="A52" s="68" t="s">
        <v>247</v>
      </c>
      <c r="B52" s="69" t="s">
        <v>375</v>
      </c>
      <c r="C52" s="69" t="s">
        <v>374</v>
      </c>
      <c r="D52" s="68" t="s">
        <v>199</v>
      </c>
      <c r="E52" s="68" t="s">
        <v>331</v>
      </c>
      <c r="F52" s="69"/>
    </row>
    <row r="53" spans="1:6" ht="18" customHeight="1">
      <c r="A53" s="68" t="s">
        <v>248</v>
      </c>
      <c r="B53" s="69" t="s">
        <v>376</v>
      </c>
      <c r="C53" s="69" t="s">
        <v>374</v>
      </c>
      <c r="D53" s="68" t="s">
        <v>199</v>
      </c>
      <c r="E53" s="68" t="s">
        <v>331</v>
      </c>
      <c r="F53" s="69"/>
    </row>
    <row r="54" spans="1:6" ht="18" customHeight="1">
      <c r="A54" s="68" t="s">
        <v>249</v>
      </c>
      <c r="B54" s="69" t="s">
        <v>377</v>
      </c>
      <c r="C54" s="69" t="s">
        <v>374</v>
      </c>
      <c r="D54" s="68" t="s">
        <v>199</v>
      </c>
      <c r="E54" s="68" t="s">
        <v>331</v>
      </c>
      <c r="F54" s="69"/>
    </row>
    <row r="55" spans="1:6" ht="18" customHeight="1">
      <c r="A55" s="68" t="s">
        <v>250</v>
      </c>
      <c r="B55" s="69" t="s">
        <v>378</v>
      </c>
      <c r="C55" s="69" t="s">
        <v>379</v>
      </c>
      <c r="D55" s="68" t="s">
        <v>198</v>
      </c>
      <c r="E55" s="68" t="s">
        <v>331</v>
      </c>
      <c r="F55" s="69"/>
    </row>
    <row r="56" spans="1:6" ht="18" customHeight="1">
      <c r="A56" s="68" t="s">
        <v>251</v>
      </c>
      <c r="B56" s="69" t="s">
        <v>380</v>
      </c>
      <c r="C56" s="69" t="s">
        <v>379</v>
      </c>
      <c r="D56" s="68" t="s">
        <v>198</v>
      </c>
      <c r="E56" s="68" t="s">
        <v>331</v>
      </c>
      <c r="F56" s="69"/>
    </row>
    <row r="57" spans="1:6" ht="18" customHeight="1">
      <c r="A57" s="68" t="s">
        <v>252</v>
      </c>
      <c r="B57" s="69" t="s">
        <v>381</v>
      </c>
      <c r="C57" s="69" t="s">
        <v>379</v>
      </c>
      <c r="D57" s="68" t="s">
        <v>198</v>
      </c>
      <c r="E57" s="68" t="s">
        <v>331</v>
      </c>
      <c r="F57" s="69"/>
    </row>
    <row r="58" spans="1:6" ht="18" customHeight="1">
      <c r="A58" s="68" t="s">
        <v>253</v>
      </c>
      <c r="B58" s="69" t="s">
        <v>382</v>
      </c>
      <c r="C58" s="69" t="s">
        <v>379</v>
      </c>
      <c r="D58" s="68" t="s">
        <v>198</v>
      </c>
      <c r="E58" s="68" t="s">
        <v>331</v>
      </c>
      <c r="F58" s="69"/>
    </row>
    <row r="59" spans="1:6" ht="18" customHeight="1">
      <c r="A59" s="68" t="s">
        <v>254</v>
      </c>
      <c r="B59" s="69" t="s">
        <v>383</v>
      </c>
      <c r="C59" s="69" t="s">
        <v>379</v>
      </c>
      <c r="D59" s="68" t="s">
        <v>198</v>
      </c>
      <c r="E59" s="68" t="s">
        <v>331</v>
      </c>
      <c r="F59" s="69"/>
    </row>
    <row r="60" spans="1:6" ht="18" customHeight="1">
      <c r="A60" s="68" t="s">
        <v>255</v>
      </c>
      <c r="B60" s="69" t="s">
        <v>384</v>
      </c>
      <c r="C60" s="69" t="s">
        <v>385</v>
      </c>
      <c r="D60" s="68" t="s">
        <v>198</v>
      </c>
      <c r="E60" s="68" t="s">
        <v>331</v>
      </c>
      <c r="F60" s="69"/>
    </row>
    <row r="61" spans="1:6" ht="18" customHeight="1">
      <c r="A61" s="68" t="s">
        <v>256</v>
      </c>
      <c r="B61" s="69" t="s">
        <v>386</v>
      </c>
      <c r="C61" s="69" t="s">
        <v>385</v>
      </c>
      <c r="D61" s="68" t="s">
        <v>198</v>
      </c>
      <c r="E61" s="68" t="s">
        <v>331</v>
      </c>
      <c r="F61" s="69"/>
    </row>
    <row r="62" spans="1:6" ht="18" customHeight="1">
      <c r="A62" s="68" t="s">
        <v>257</v>
      </c>
      <c r="B62" s="69" t="s">
        <v>387</v>
      </c>
      <c r="C62" s="69" t="s">
        <v>385</v>
      </c>
      <c r="D62" s="68" t="s">
        <v>198</v>
      </c>
      <c r="E62" s="68" t="s">
        <v>331</v>
      </c>
      <c r="F62" s="69"/>
    </row>
    <row r="63" spans="1:6" ht="18" customHeight="1">
      <c r="A63" s="68" t="s">
        <v>258</v>
      </c>
      <c r="B63" s="69" t="s">
        <v>388</v>
      </c>
      <c r="C63" s="69" t="s">
        <v>385</v>
      </c>
      <c r="D63" s="68" t="s">
        <v>198</v>
      </c>
      <c r="E63" s="68" t="s">
        <v>331</v>
      </c>
      <c r="F63" s="69"/>
    </row>
    <row r="64" spans="1:6" ht="18" customHeight="1">
      <c r="A64" s="68" t="s">
        <v>259</v>
      </c>
      <c r="B64" s="69" t="s">
        <v>389</v>
      </c>
      <c r="C64" s="69" t="s">
        <v>385</v>
      </c>
      <c r="D64" s="68" t="s">
        <v>198</v>
      </c>
      <c r="E64" s="68" t="s">
        <v>331</v>
      </c>
      <c r="F64" s="69"/>
    </row>
    <row r="65" spans="1:6" ht="18" customHeight="1">
      <c r="A65" s="68" t="s">
        <v>260</v>
      </c>
      <c r="B65" s="69" t="s">
        <v>390</v>
      </c>
      <c r="C65" s="69" t="s">
        <v>385</v>
      </c>
      <c r="D65" s="68" t="s">
        <v>198</v>
      </c>
      <c r="E65" s="68" t="s">
        <v>331</v>
      </c>
      <c r="F65" s="69"/>
    </row>
    <row r="66" spans="1:6" ht="18" customHeight="1">
      <c r="A66" s="68" t="s">
        <v>261</v>
      </c>
      <c r="B66" s="69" t="s">
        <v>391</v>
      </c>
      <c r="C66" s="69" t="s">
        <v>385</v>
      </c>
      <c r="D66" s="68" t="s">
        <v>198</v>
      </c>
      <c r="E66" s="68" t="s">
        <v>331</v>
      </c>
      <c r="F66" s="69"/>
    </row>
    <row r="67" spans="1:6" ht="18" customHeight="1">
      <c r="A67" s="68" t="s">
        <v>262</v>
      </c>
      <c r="B67" s="69" t="s">
        <v>392</v>
      </c>
      <c r="C67" s="69" t="s">
        <v>385</v>
      </c>
      <c r="D67" s="68" t="s">
        <v>198</v>
      </c>
      <c r="E67" s="68" t="s">
        <v>331</v>
      </c>
      <c r="F67" s="69"/>
    </row>
    <row r="68" spans="1:6" ht="18" customHeight="1">
      <c r="A68" s="68" t="s">
        <v>263</v>
      </c>
      <c r="B68" s="69" t="s">
        <v>393</v>
      </c>
      <c r="C68" s="69" t="s">
        <v>385</v>
      </c>
      <c r="D68" s="68" t="s">
        <v>198</v>
      </c>
      <c r="E68" s="68" t="s">
        <v>331</v>
      </c>
      <c r="F68" s="69"/>
    </row>
    <row r="69" spans="1:6" ht="18" customHeight="1">
      <c r="A69" s="68" t="s">
        <v>264</v>
      </c>
      <c r="B69" s="69" t="s">
        <v>394</v>
      </c>
      <c r="C69" s="69" t="s">
        <v>385</v>
      </c>
      <c r="D69" s="68" t="s">
        <v>198</v>
      </c>
      <c r="E69" s="68" t="s">
        <v>331</v>
      </c>
      <c r="F69" s="69"/>
    </row>
    <row r="70" spans="1:6" ht="18" customHeight="1">
      <c r="A70" s="68" t="s">
        <v>265</v>
      </c>
      <c r="B70" s="69" t="s">
        <v>395</v>
      </c>
      <c r="C70" s="69" t="s">
        <v>385</v>
      </c>
      <c r="D70" s="68" t="s">
        <v>198</v>
      </c>
      <c r="E70" s="68" t="s">
        <v>331</v>
      </c>
      <c r="F70" s="69"/>
    </row>
    <row r="71" spans="1:6" ht="18" customHeight="1">
      <c r="A71" s="68" t="s">
        <v>266</v>
      </c>
      <c r="B71" s="69" t="s">
        <v>396</v>
      </c>
      <c r="C71" s="69" t="s">
        <v>385</v>
      </c>
      <c r="D71" s="68" t="s">
        <v>198</v>
      </c>
      <c r="E71" s="68" t="s">
        <v>331</v>
      </c>
      <c r="F71" s="69"/>
    </row>
    <row r="72" spans="1:6" ht="18" customHeight="1">
      <c r="A72" s="68" t="s">
        <v>267</v>
      </c>
      <c r="B72" s="69" t="s">
        <v>397</v>
      </c>
      <c r="C72" s="69" t="s">
        <v>385</v>
      </c>
      <c r="D72" s="68" t="s">
        <v>198</v>
      </c>
      <c r="E72" s="68" t="s">
        <v>331</v>
      </c>
      <c r="F72" s="69"/>
    </row>
    <row r="73" spans="1:6" ht="18" customHeight="1">
      <c r="A73" s="68" t="s">
        <v>268</v>
      </c>
      <c r="B73" s="69" t="s">
        <v>398</v>
      </c>
      <c r="C73" s="69" t="s">
        <v>385</v>
      </c>
      <c r="D73" s="68" t="s">
        <v>198</v>
      </c>
      <c r="E73" s="68" t="s">
        <v>331</v>
      </c>
      <c r="F73" s="69"/>
    </row>
    <row r="74" spans="1:6" ht="18" customHeight="1">
      <c r="A74" s="68" t="s">
        <v>269</v>
      </c>
      <c r="B74" s="69" t="s">
        <v>399</v>
      </c>
      <c r="C74" s="69" t="s">
        <v>385</v>
      </c>
      <c r="D74" s="68" t="s">
        <v>198</v>
      </c>
      <c r="E74" s="68" t="s">
        <v>331</v>
      </c>
      <c r="F74" s="69"/>
    </row>
    <row r="75" spans="1:6" ht="18" customHeight="1">
      <c r="A75" s="68" t="s">
        <v>270</v>
      </c>
      <c r="B75" s="69" t="s">
        <v>400</v>
      </c>
      <c r="C75" s="69" t="s">
        <v>385</v>
      </c>
      <c r="D75" s="68" t="s">
        <v>198</v>
      </c>
      <c r="E75" s="68" t="s">
        <v>331</v>
      </c>
      <c r="F75" s="69"/>
    </row>
    <row r="76" spans="1:6" ht="18" customHeight="1">
      <c r="A76" s="68" t="s">
        <v>271</v>
      </c>
      <c r="B76" s="69" t="s">
        <v>401</v>
      </c>
      <c r="C76" s="69" t="s">
        <v>385</v>
      </c>
      <c r="D76" s="68" t="s">
        <v>198</v>
      </c>
      <c r="E76" s="68" t="s">
        <v>331</v>
      </c>
      <c r="F76" s="69"/>
    </row>
    <row r="77" spans="1:6" ht="18" customHeight="1">
      <c r="A77" s="68" t="s">
        <v>272</v>
      </c>
      <c r="B77" s="69" t="s">
        <v>402</v>
      </c>
      <c r="C77" s="69" t="s">
        <v>385</v>
      </c>
      <c r="D77" s="68" t="s">
        <v>198</v>
      </c>
      <c r="E77" s="68" t="s">
        <v>331</v>
      </c>
      <c r="F77" s="69"/>
    </row>
    <row r="78" spans="1:6" ht="18" customHeight="1">
      <c r="A78" s="68" t="s">
        <v>273</v>
      </c>
      <c r="B78" s="69" t="s">
        <v>403</v>
      </c>
      <c r="C78" s="69" t="s">
        <v>385</v>
      </c>
      <c r="D78" s="68" t="s">
        <v>198</v>
      </c>
      <c r="E78" s="68" t="s">
        <v>331</v>
      </c>
      <c r="F78" s="69"/>
    </row>
    <row r="79" spans="1:6" ht="18" customHeight="1">
      <c r="A79" s="68" t="s">
        <v>274</v>
      </c>
      <c r="B79" s="69" t="s">
        <v>719</v>
      </c>
      <c r="C79" s="69" t="s">
        <v>385</v>
      </c>
      <c r="D79" s="68" t="s">
        <v>198</v>
      </c>
      <c r="E79" s="68" t="s">
        <v>331</v>
      </c>
      <c r="F79" s="69"/>
    </row>
    <row r="80" spans="1:6" ht="18" customHeight="1">
      <c r="A80" s="68" t="s">
        <v>275</v>
      </c>
      <c r="B80" s="69" t="s">
        <v>404</v>
      </c>
      <c r="C80" s="69" t="s">
        <v>385</v>
      </c>
      <c r="D80" s="68" t="s">
        <v>198</v>
      </c>
      <c r="E80" s="68" t="s">
        <v>331</v>
      </c>
      <c r="F80" s="69"/>
    </row>
    <row r="81" spans="1:6" ht="18" customHeight="1">
      <c r="A81" s="68" t="s">
        <v>276</v>
      </c>
      <c r="B81" s="69" t="s">
        <v>405</v>
      </c>
      <c r="C81" s="69" t="s">
        <v>385</v>
      </c>
      <c r="D81" s="68" t="s">
        <v>198</v>
      </c>
      <c r="E81" s="68" t="s">
        <v>331</v>
      </c>
      <c r="F81" s="69"/>
    </row>
    <row r="82" spans="1:6" ht="18" customHeight="1">
      <c r="A82" s="68" t="s">
        <v>277</v>
      </c>
      <c r="B82" s="69" t="s">
        <v>406</v>
      </c>
      <c r="C82" s="69" t="s">
        <v>407</v>
      </c>
      <c r="D82" s="68" t="s">
        <v>198</v>
      </c>
      <c r="E82" s="68" t="s">
        <v>331</v>
      </c>
      <c r="F82" s="69"/>
    </row>
    <row r="83" spans="1:6" ht="18" customHeight="1">
      <c r="A83" s="68" t="s">
        <v>278</v>
      </c>
      <c r="B83" s="69" t="s">
        <v>408</v>
      </c>
      <c r="C83" s="69" t="s">
        <v>407</v>
      </c>
      <c r="D83" s="68" t="s">
        <v>198</v>
      </c>
      <c r="E83" s="68" t="s">
        <v>331</v>
      </c>
      <c r="F83" s="69"/>
    </row>
    <row r="84" spans="1:6" ht="18" customHeight="1">
      <c r="A84" s="68" t="s">
        <v>279</v>
      </c>
      <c r="B84" s="69" t="s">
        <v>409</v>
      </c>
      <c r="C84" s="69" t="s">
        <v>407</v>
      </c>
      <c r="D84" s="68" t="s">
        <v>198</v>
      </c>
      <c r="E84" s="68" t="s">
        <v>331</v>
      </c>
      <c r="F84" s="69"/>
    </row>
    <row r="85" spans="1:6" ht="18" customHeight="1">
      <c r="A85" s="68" t="s">
        <v>280</v>
      </c>
      <c r="B85" s="69" t="s">
        <v>410</v>
      </c>
      <c r="C85" s="69" t="s">
        <v>407</v>
      </c>
      <c r="D85" s="68" t="s">
        <v>198</v>
      </c>
      <c r="E85" s="68" t="s">
        <v>331</v>
      </c>
      <c r="F85" s="69"/>
    </row>
    <row r="86" spans="1:6" ht="18" customHeight="1">
      <c r="A86" s="68" t="s">
        <v>281</v>
      </c>
      <c r="B86" s="69" t="s">
        <v>411</v>
      </c>
      <c r="C86" s="69" t="s">
        <v>407</v>
      </c>
      <c r="D86" s="68" t="s">
        <v>198</v>
      </c>
      <c r="E86" s="68" t="s">
        <v>331</v>
      </c>
      <c r="F86" s="69"/>
    </row>
    <row r="87" spans="1:6" ht="18" customHeight="1">
      <c r="A87" s="68" t="s">
        <v>282</v>
      </c>
      <c r="B87" s="69" t="s">
        <v>412</v>
      </c>
      <c r="C87" s="69" t="s">
        <v>407</v>
      </c>
      <c r="D87" s="68" t="s">
        <v>198</v>
      </c>
      <c r="E87" s="68" t="s">
        <v>331</v>
      </c>
      <c r="F87" s="69"/>
    </row>
    <row r="88" spans="1:6" ht="18" customHeight="1">
      <c r="A88" s="68" t="s">
        <v>283</v>
      </c>
      <c r="B88" s="69" t="s">
        <v>413</v>
      </c>
      <c r="C88" s="69" t="s">
        <v>414</v>
      </c>
      <c r="D88" s="68" t="s">
        <v>199</v>
      </c>
      <c r="E88" s="68" t="s">
        <v>331</v>
      </c>
      <c r="F88" s="69"/>
    </row>
    <row r="89" spans="1:6" ht="18" customHeight="1">
      <c r="A89" s="68" t="s">
        <v>284</v>
      </c>
      <c r="B89" s="69" t="s">
        <v>415</v>
      </c>
      <c r="C89" s="69" t="s">
        <v>414</v>
      </c>
      <c r="D89" s="68" t="s">
        <v>199</v>
      </c>
      <c r="E89" s="68" t="s">
        <v>331</v>
      </c>
      <c r="F89" s="69"/>
    </row>
    <row r="90" spans="1:6" ht="18" customHeight="1">
      <c r="A90" s="68" t="s">
        <v>285</v>
      </c>
      <c r="B90" s="69" t="s">
        <v>416</v>
      </c>
      <c r="C90" s="69" t="s">
        <v>414</v>
      </c>
      <c r="D90" s="68" t="s">
        <v>199</v>
      </c>
      <c r="E90" s="68" t="s">
        <v>331</v>
      </c>
      <c r="F90" s="69"/>
    </row>
    <row r="91" spans="1:6" ht="18" customHeight="1">
      <c r="A91" s="68" t="s">
        <v>286</v>
      </c>
      <c r="B91" s="69" t="s">
        <v>417</v>
      </c>
      <c r="C91" s="69" t="s">
        <v>414</v>
      </c>
      <c r="D91" s="68" t="s">
        <v>199</v>
      </c>
      <c r="E91" s="68" t="s">
        <v>331</v>
      </c>
      <c r="F91" s="69"/>
    </row>
    <row r="92" spans="1:6" ht="18" customHeight="1">
      <c r="A92" s="68">
        <v>40016</v>
      </c>
      <c r="B92" s="70" t="s">
        <v>418</v>
      </c>
      <c r="C92" s="69" t="s">
        <v>385</v>
      </c>
      <c r="D92" s="68" t="s">
        <v>198</v>
      </c>
      <c r="E92" s="68" t="s">
        <v>331</v>
      </c>
      <c r="F92" s="69"/>
    </row>
    <row r="93" spans="1:6" ht="18" customHeight="1">
      <c r="A93" s="68">
        <v>350032</v>
      </c>
      <c r="B93" s="70" t="s">
        <v>419</v>
      </c>
      <c r="C93" s="69" t="s">
        <v>379</v>
      </c>
      <c r="D93" s="68" t="s">
        <v>198</v>
      </c>
      <c r="E93" s="68" t="s">
        <v>331</v>
      </c>
      <c r="F93" s="69"/>
    </row>
    <row r="94" spans="1:6" ht="18" customHeight="1">
      <c r="A94" s="68">
        <v>321007</v>
      </c>
      <c r="B94" s="70" t="s">
        <v>420</v>
      </c>
      <c r="C94" s="69" t="s">
        <v>385</v>
      </c>
      <c r="D94" s="68" t="s">
        <v>198</v>
      </c>
      <c r="E94" s="68" t="s">
        <v>331</v>
      </c>
      <c r="F94" s="69"/>
    </row>
    <row r="95" spans="1:6" ht="18" customHeight="1">
      <c r="A95" s="68">
        <v>116012</v>
      </c>
      <c r="B95" s="70" t="s">
        <v>421</v>
      </c>
      <c r="C95" s="69" t="s">
        <v>330</v>
      </c>
      <c r="D95" s="68" t="s">
        <v>198</v>
      </c>
      <c r="E95" s="68" t="s">
        <v>331</v>
      </c>
      <c r="F95" s="69"/>
    </row>
    <row r="96" spans="1:6" ht="18" customHeight="1">
      <c r="A96" s="68">
        <v>101000</v>
      </c>
      <c r="B96" s="69" t="s">
        <v>422</v>
      </c>
      <c r="C96" s="69" t="s">
        <v>330</v>
      </c>
      <c r="D96" s="68" t="s">
        <v>198</v>
      </c>
      <c r="E96" s="68" t="s">
        <v>331</v>
      </c>
      <c r="F96" s="69"/>
    </row>
    <row r="97" spans="1:6" ht="18" customHeight="1">
      <c r="A97" s="68">
        <v>201031</v>
      </c>
      <c r="B97" s="69" t="s">
        <v>423</v>
      </c>
      <c r="C97" s="69" t="s">
        <v>330</v>
      </c>
      <c r="D97" s="68" t="s">
        <v>198</v>
      </c>
      <c r="E97" s="68" t="s">
        <v>331</v>
      </c>
      <c r="F97" s="69"/>
    </row>
    <row r="98" spans="1:6" ht="18" customHeight="1">
      <c r="A98" s="68">
        <v>321005</v>
      </c>
      <c r="B98" s="69" t="s">
        <v>424</v>
      </c>
      <c r="C98" s="69" t="s">
        <v>379</v>
      </c>
      <c r="D98" s="68" t="s">
        <v>198</v>
      </c>
      <c r="E98" s="68" t="s">
        <v>331</v>
      </c>
      <c r="F98" s="69"/>
    </row>
    <row r="99" spans="1:6" ht="18" customHeight="1">
      <c r="A99" s="68">
        <v>321009</v>
      </c>
      <c r="B99" s="69" t="s">
        <v>425</v>
      </c>
      <c r="C99" s="69" t="s">
        <v>385</v>
      </c>
      <c r="D99" s="68" t="s">
        <v>198</v>
      </c>
      <c r="E99" s="68" t="s">
        <v>331</v>
      </c>
      <c r="F99" s="69"/>
    </row>
    <row r="100" spans="1:6" ht="18" customHeight="1">
      <c r="A100" s="68">
        <v>321014</v>
      </c>
      <c r="B100" s="69" t="s">
        <v>426</v>
      </c>
      <c r="C100" s="69" t="s">
        <v>379</v>
      </c>
      <c r="D100" s="68" t="s">
        <v>198</v>
      </c>
      <c r="E100" s="68" t="s">
        <v>331</v>
      </c>
      <c r="F100" s="69"/>
    </row>
    <row r="101" spans="1:6" ht="18" customHeight="1">
      <c r="A101" s="68">
        <v>321022</v>
      </c>
      <c r="B101" s="69" t="s">
        <v>427</v>
      </c>
      <c r="C101" s="69" t="s">
        <v>385</v>
      </c>
      <c r="D101" s="68" t="s">
        <v>198</v>
      </c>
      <c r="E101" s="68" t="s">
        <v>331</v>
      </c>
      <c r="F101" s="69"/>
    </row>
    <row r="102" spans="1:6" ht="18" customHeight="1">
      <c r="A102" s="68">
        <v>321023</v>
      </c>
      <c r="B102" s="69" t="s">
        <v>428</v>
      </c>
      <c r="C102" s="69" t="s">
        <v>385</v>
      </c>
      <c r="D102" s="68" t="s">
        <v>198</v>
      </c>
      <c r="E102" s="68" t="s">
        <v>331</v>
      </c>
      <c r="F102" s="69"/>
    </row>
    <row r="103" spans="1:6" ht="18" customHeight="1">
      <c r="A103" s="68">
        <v>321027</v>
      </c>
      <c r="B103" s="69" t="s">
        <v>429</v>
      </c>
      <c r="C103" s="69" t="s">
        <v>385</v>
      </c>
      <c r="D103" s="68" t="s">
        <v>198</v>
      </c>
      <c r="E103" s="68" t="s">
        <v>331</v>
      </c>
      <c r="F103" s="69"/>
    </row>
    <row r="104" spans="1:6" ht="18" customHeight="1">
      <c r="A104" s="68">
        <v>321028</v>
      </c>
      <c r="B104" s="69" t="s">
        <v>430</v>
      </c>
      <c r="C104" s="69" t="s">
        <v>385</v>
      </c>
      <c r="D104" s="68" t="s">
        <v>198</v>
      </c>
      <c r="E104" s="68" t="s">
        <v>331</v>
      </c>
      <c r="F104" s="69"/>
    </row>
    <row r="105" spans="1:6" ht="18" customHeight="1">
      <c r="A105" s="68">
        <v>321029</v>
      </c>
      <c r="B105" s="69" t="s">
        <v>431</v>
      </c>
      <c r="C105" s="69" t="s">
        <v>385</v>
      </c>
      <c r="D105" s="68" t="s">
        <v>198</v>
      </c>
      <c r="E105" s="68" t="s">
        <v>331</v>
      </c>
      <c r="F105" s="69"/>
    </row>
    <row r="106" spans="1:6" ht="18" customHeight="1">
      <c r="A106" s="68">
        <v>321030</v>
      </c>
      <c r="B106" s="69" t="s">
        <v>432</v>
      </c>
      <c r="C106" s="69" t="s">
        <v>385</v>
      </c>
      <c r="D106" s="68" t="s">
        <v>198</v>
      </c>
      <c r="E106" s="68" t="s">
        <v>331</v>
      </c>
      <c r="F106" s="69"/>
    </row>
    <row r="107" spans="1:6" ht="18" customHeight="1">
      <c r="A107" s="68">
        <v>321034</v>
      </c>
      <c r="B107" s="69" t="s">
        <v>433</v>
      </c>
      <c r="C107" s="69" t="s">
        <v>385</v>
      </c>
      <c r="D107" s="68" t="s">
        <v>198</v>
      </c>
      <c r="E107" s="68" t="s">
        <v>331</v>
      </c>
      <c r="F107" s="69"/>
    </row>
    <row r="108" spans="1:6" ht="18" customHeight="1">
      <c r="A108" s="68">
        <v>340009</v>
      </c>
      <c r="B108" s="69" t="s">
        <v>434</v>
      </c>
      <c r="C108" s="69" t="s">
        <v>385</v>
      </c>
      <c r="D108" s="68" t="s">
        <v>198</v>
      </c>
      <c r="E108" s="68" t="s">
        <v>331</v>
      </c>
      <c r="F108" s="69"/>
    </row>
    <row r="109" spans="1:6" ht="18" customHeight="1">
      <c r="A109" s="68">
        <v>400056</v>
      </c>
      <c r="B109" s="69" t="s">
        <v>435</v>
      </c>
      <c r="C109" s="69" t="s">
        <v>379</v>
      </c>
      <c r="D109" s="68" t="s">
        <v>198</v>
      </c>
      <c r="E109" s="68" t="s">
        <v>331</v>
      </c>
      <c r="F109" s="69"/>
    </row>
    <row r="110" spans="1:6" ht="18" customHeight="1">
      <c r="A110" s="68">
        <v>999001</v>
      </c>
      <c r="B110" s="69" t="s">
        <v>436</v>
      </c>
      <c r="C110" s="69" t="s">
        <v>379</v>
      </c>
      <c r="D110" s="68" t="s">
        <v>198</v>
      </c>
      <c r="E110" s="68" t="s">
        <v>331</v>
      </c>
      <c r="F110" s="69"/>
    </row>
    <row r="111" spans="1:6" ht="18" customHeight="1">
      <c r="A111" s="68">
        <v>410002</v>
      </c>
      <c r="B111" s="70" t="s">
        <v>437</v>
      </c>
      <c r="C111" s="69" t="s">
        <v>414</v>
      </c>
      <c r="D111" s="68" t="s">
        <v>199</v>
      </c>
      <c r="E111" s="68" t="s">
        <v>331</v>
      </c>
      <c r="F111" s="69"/>
    </row>
    <row r="112" spans="1:6" ht="18" customHeight="1">
      <c r="A112" s="68"/>
      <c r="B112" s="69"/>
      <c r="C112" s="69"/>
      <c r="D112" s="68"/>
      <c r="E112" s="68" t="s">
        <v>331</v>
      </c>
      <c r="F112" s="69"/>
    </row>
    <row r="113" spans="1:6" ht="18" customHeight="1">
      <c r="A113" s="68"/>
      <c r="B113" s="69"/>
      <c r="C113" s="69"/>
      <c r="D113" s="68"/>
      <c r="E113" s="68" t="s">
        <v>331</v>
      </c>
      <c r="F113" s="69"/>
    </row>
    <row r="114" spans="1:6" ht="18" customHeight="1">
      <c r="A114" s="68"/>
      <c r="B114" s="69"/>
      <c r="C114" s="69"/>
      <c r="D114" s="68"/>
      <c r="E114" s="68" t="s">
        <v>331</v>
      </c>
      <c r="F114" s="69"/>
    </row>
    <row r="115" spans="1:6" ht="18" customHeight="1">
      <c r="A115" s="68"/>
      <c r="B115" s="69"/>
      <c r="C115" s="69"/>
      <c r="D115" s="68"/>
      <c r="E115" s="68" t="s">
        <v>331</v>
      </c>
      <c r="F115" s="69"/>
    </row>
    <row r="116" spans="1:6" ht="18" customHeight="1">
      <c r="A116" s="68"/>
      <c r="B116" s="69"/>
      <c r="C116" s="69"/>
      <c r="D116" s="68"/>
      <c r="E116" s="68" t="s">
        <v>331</v>
      </c>
      <c r="F116" s="69"/>
    </row>
    <row r="117" spans="1:6" ht="18" customHeight="1">
      <c r="A117" s="68"/>
      <c r="B117" s="69"/>
      <c r="C117" s="69"/>
      <c r="D117" s="68"/>
      <c r="E117" s="68" t="s">
        <v>331</v>
      </c>
      <c r="F117" s="69"/>
    </row>
    <row r="118" spans="1:6" ht="18" customHeight="1">
      <c r="A118" s="68"/>
      <c r="B118" s="69"/>
      <c r="C118" s="69"/>
      <c r="D118" s="68"/>
      <c r="E118" s="68" t="s">
        <v>331</v>
      </c>
      <c r="F118" s="69"/>
    </row>
    <row r="119" spans="1:6" ht="18" customHeight="1">
      <c r="A119" s="68"/>
      <c r="B119" s="69"/>
      <c r="C119" s="69"/>
      <c r="D119" s="68"/>
      <c r="E119" s="68" t="s">
        <v>331</v>
      </c>
      <c r="F119" s="69"/>
    </row>
    <row r="120" spans="1:6" ht="18" customHeight="1">
      <c r="A120" s="68"/>
      <c r="B120" s="69"/>
      <c r="C120" s="69"/>
      <c r="D120" s="68"/>
      <c r="E120" s="68" t="s">
        <v>331</v>
      </c>
      <c r="F120" s="69"/>
    </row>
    <row r="121" spans="1:6" ht="18" customHeight="1">
      <c r="A121" s="68"/>
      <c r="B121" s="69"/>
      <c r="C121" s="69"/>
      <c r="D121" s="68"/>
      <c r="E121" s="68" t="s">
        <v>331</v>
      </c>
      <c r="F121" s="69"/>
    </row>
    <row r="122" spans="1:6" ht="18" customHeight="1">
      <c r="A122" s="68"/>
      <c r="B122" s="69"/>
      <c r="C122" s="69"/>
      <c r="D122" s="68"/>
      <c r="E122" s="68" t="s">
        <v>331</v>
      </c>
      <c r="F122" s="69"/>
    </row>
    <row r="123" spans="1:6" ht="18" customHeight="1">
      <c r="A123" s="68"/>
      <c r="B123" s="69"/>
      <c r="C123" s="69"/>
      <c r="D123" s="68"/>
      <c r="E123" s="68" t="s">
        <v>331</v>
      </c>
      <c r="F123" s="69"/>
    </row>
    <row r="124" spans="1:6" ht="18" customHeight="1">
      <c r="A124" s="68"/>
      <c r="B124" s="69"/>
      <c r="C124" s="69"/>
      <c r="D124" s="68"/>
      <c r="E124" s="68" t="s">
        <v>331</v>
      </c>
      <c r="F124" s="69"/>
    </row>
    <row r="125" spans="1:6" ht="18" customHeight="1">
      <c r="A125" s="68"/>
      <c r="B125" s="69"/>
      <c r="C125" s="69"/>
      <c r="D125" s="68"/>
      <c r="E125" s="68" t="s">
        <v>331</v>
      </c>
      <c r="F125" s="69"/>
    </row>
    <row r="126" spans="1:6" ht="18" customHeight="1">
      <c r="A126" s="68"/>
      <c r="B126" s="69"/>
      <c r="C126" s="69"/>
      <c r="D126" s="68"/>
      <c r="E126" s="68" t="s">
        <v>331</v>
      </c>
      <c r="F126" s="69"/>
    </row>
    <row r="127" spans="1:6" ht="18" customHeight="1">
      <c r="A127" s="68"/>
      <c r="B127" s="69"/>
      <c r="C127" s="69"/>
      <c r="D127" s="68"/>
      <c r="E127" s="68" t="s">
        <v>331</v>
      </c>
      <c r="F127" s="69"/>
    </row>
    <row r="128" spans="1:6" ht="18" customHeight="1">
      <c r="A128" s="68"/>
      <c r="B128" s="69"/>
      <c r="C128" s="69"/>
      <c r="D128" s="68"/>
      <c r="E128" s="68" t="s">
        <v>331</v>
      </c>
      <c r="F128" s="69"/>
    </row>
    <row r="129" spans="1:6" ht="18" customHeight="1">
      <c r="A129" s="68"/>
      <c r="B129" s="69"/>
      <c r="C129" s="69"/>
      <c r="D129" s="68"/>
      <c r="E129" s="68" t="s">
        <v>331</v>
      </c>
      <c r="F129" s="69"/>
    </row>
    <row r="130" spans="1:6" ht="18" customHeight="1">
      <c r="A130" s="68"/>
      <c r="B130" s="69"/>
      <c r="C130" s="69"/>
      <c r="D130" s="68"/>
      <c r="E130" s="68" t="s">
        <v>331</v>
      </c>
      <c r="F130" s="69"/>
    </row>
    <row r="131" spans="1:6" ht="18" customHeight="1">
      <c r="A131" s="68"/>
      <c r="B131" s="69"/>
      <c r="C131" s="69"/>
      <c r="D131" s="68"/>
      <c r="E131" s="68" t="s">
        <v>331</v>
      </c>
      <c r="F131" s="69"/>
    </row>
    <row r="132" spans="1:6" ht="18" customHeight="1">
      <c r="A132" s="68"/>
      <c r="B132" s="69"/>
      <c r="C132" s="69"/>
      <c r="D132" s="68"/>
      <c r="E132" s="68" t="s">
        <v>331</v>
      </c>
      <c r="F132" s="69"/>
    </row>
    <row r="133" spans="1:6" ht="18" customHeight="1">
      <c r="A133" s="68"/>
      <c r="B133" s="69"/>
      <c r="C133" s="69"/>
      <c r="D133" s="68"/>
      <c r="E133" s="68" t="s">
        <v>331</v>
      </c>
      <c r="F133" s="69"/>
    </row>
    <row r="134" spans="1:6" ht="18" customHeight="1">
      <c r="A134" s="68"/>
      <c r="B134" s="69"/>
      <c r="C134" s="69"/>
      <c r="D134" s="68"/>
      <c r="E134" s="68" t="s">
        <v>331</v>
      </c>
      <c r="F134" s="69"/>
    </row>
    <row r="135" spans="1:6" ht="18" customHeight="1">
      <c r="A135" s="68"/>
      <c r="B135" s="69"/>
      <c r="C135" s="69"/>
      <c r="D135" s="68"/>
      <c r="E135" s="68" t="s">
        <v>331</v>
      </c>
      <c r="F135" s="69"/>
    </row>
    <row r="136" spans="1:6" ht="18" customHeight="1">
      <c r="A136" s="68"/>
      <c r="B136" s="69"/>
      <c r="C136" s="69"/>
      <c r="D136" s="68"/>
      <c r="E136" s="68" t="s">
        <v>331</v>
      </c>
      <c r="F136" s="69"/>
    </row>
    <row r="137" spans="1:6" ht="18" customHeight="1">
      <c r="A137" s="68"/>
      <c r="B137" s="69"/>
      <c r="C137" s="69"/>
      <c r="D137" s="68"/>
      <c r="E137" s="68" t="s">
        <v>331</v>
      </c>
      <c r="F137" s="69"/>
    </row>
    <row r="138" spans="1:6" ht="18" customHeight="1">
      <c r="A138" s="68"/>
      <c r="B138" s="69"/>
      <c r="C138" s="69"/>
      <c r="D138" s="68"/>
      <c r="E138" s="68" t="s">
        <v>331</v>
      </c>
      <c r="F138" s="69"/>
    </row>
    <row r="139" spans="1:6" ht="18" customHeight="1">
      <c r="A139" s="68"/>
      <c r="B139" s="69"/>
      <c r="C139" s="69"/>
      <c r="D139" s="68"/>
      <c r="E139" s="68" t="s">
        <v>331</v>
      </c>
      <c r="F139" s="69"/>
    </row>
    <row r="140" spans="1:6" ht="18" customHeight="1">
      <c r="A140" s="68"/>
      <c r="B140" s="69"/>
      <c r="C140" s="69"/>
      <c r="D140" s="68"/>
      <c r="E140" s="68" t="s">
        <v>331</v>
      </c>
      <c r="F140" s="69"/>
    </row>
    <row r="141" spans="1:6" ht="18" customHeight="1">
      <c r="A141" s="68"/>
      <c r="B141" s="69"/>
      <c r="C141" s="69"/>
      <c r="D141" s="68"/>
      <c r="E141" s="68" t="s">
        <v>331</v>
      </c>
      <c r="F141" s="69"/>
    </row>
  </sheetData>
  <autoFilter ref="A4:F141" xr:uid="{00000000-0009-0000-0000-000007000000}"/>
  <mergeCells count="3">
    <mergeCell ref="A1:F1"/>
    <mergeCell ref="A2:F2"/>
    <mergeCell ref="A3:F3"/>
  </mergeCells>
  <dataValidations count="3">
    <dataValidation type="list" allowBlank="1" sqref="C5:C300" xr:uid="{00000000-0002-0000-0700-000000000000}">
      <formula1>"أصول متداولة,أصول غير متداولة,التزامات متداولة,التزامات غير متداولة,حقوق الملكية,مصروفات – تكلفة,مصروفات – إدارية,مصروفات – إهلاك,إيرادات"</formula1>
      <formula2>0</formula2>
    </dataValidation>
    <dataValidation type="list" allowBlank="1" sqref="D5:D300" xr:uid="{00000000-0002-0000-0700-000001000000}">
      <formula1>"مدين,دائن"</formula1>
      <formula2>0</formula2>
    </dataValidation>
    <dataValidation type="list" allowBlank="1" sqref="E5:E300" xr:uid="{00000000-0002-0000-0700-000002000000}">
      <formula1>"نعم,لا"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D28"/>
  <sheetViews>
    <sheetView rightToLeft="1" zoomScaleNormal="100" workbookViewId="0">
      <selection sqref="A1:D1"/>
    </sheetView>
  </sheetViews>
  <sheetFormatPr defaultColWidth="8.7109375" defaultRowHeight="15"/>
  <cols>
    <col min="1" max="1" width="5" customWidth="1"/>
    <col min="2" max="2" width="28" customWidth="1"/>
    <col min="3" max="3" width="52" customWidth="1"/>
    <col min="4" max="4" width="3" customWidth="1"/>
  </cols>
  <sheetData>
    <row r="1" spans="1:4" ht="18" customHeight="1">
      <c r="A1" s="117" t="s">
        <v>438</v>
      </c>
      <c r="B1" s="117"/>
      <c r="C1" s="117"/>
      <c r="D1" s="117"/>
    </row>
    <row r="2" spans="1:4" ht="13.5" customHeight="1">
      <c r="A2" s="121" t="s">
        <v>439</v>
      </c>
      <c r="B2" s="121"/>
      <c r="C2" s="121"/>
      <c r="D2" s="121"/>
    </row>
    <row r="4" spans="1:4" ht="27.75" customHeight="1">
      <c r="A4" s="4" t="s">
        <v>440</v>
      </c>
      <c r="B4" s="120" t="s">
        <v>441</v>
      </c>
      <c r="C4" s="120"/>
    </row>
    <row r="5" spans="1:4" ht="49.5" customHeight="1">
      <c r="B5" s="149" t="s">
        <v>442</v>
      </c>
      <c r="C5" s="149"/>
    </row>
    <row r="7" spans="1:4" ht="27.75" customHeight="1">
      <c r="A7" s="3" t="s">
        <v>443</v>
      </c>
      <c r="B7" s="150" t="s">
        <v>444</v>
      </c>
      <c r="C7" s="150"/>
    </row>
    <row r="8" spans="1:4" ht="49.5" customHeight="1">
      <c r="B8" s="149" t="s">
        <v>445</v>
      </c>
      <c r="C8" s="149"/>
    </row>
    <row r="10" spans="1:4" ht="27.75" customHeight="1">
      <c r="A10" s="4" t="s">
        <v>446</v>
      </c>
      <c r="B10" s="120" t="s">
        <v>447</v>
      </c>
      <c r="C10" s="120"/>
    </row>
    <row r="11" spans="1:4" ht="49.5" customHeight="1">
      <c r="B11" s="149" t="s">
        <v>448</v>
      </c>
      <c r="C11" s="149"/>
    </row>
    <row r="13" spans="1:4" ht="27.75" customHeight="1">
      <c r="A13" s="2" t="s">
        <v>449</v>
      </c>
      <c r="B13" s="151" t="s">
        <v>450</v>
      </c>
      <c r="C13" s="151"/>
    </row>
    <row r="14" spans="1:4" ht="49.5" customHeight="1">
      <c r="B14" s="149" t="s">
        <v>451</v>
      </c>
      <c r="C14" s="149"/>
    </row>
    <row r="16" spans="1:4" ht="27.75" customHeight="1">
      <c r="A16" s="3" t="s">
        <v>452</v>
      </c>
      <c r="B16" s="150" t="s">
        <v>453</v>
      </c>
      <c r="C16" s="150"/>
    </row>
    <row r="17" spans="1:3" ht="49.5" customHeight="1">
      <c r="B17" s="149" t="s">
        <v>454</v>
      </c>
      <c r="C17" s="149"/>
    </row>
    <row r="19" spans="1:3" ht="27.75" customHeight="1">
      <c r="A19" s="4" t="s">
        <v>455</v>
      </c>
      <c r="B19" s="120" t="s">
        <v>456</v>
      </c>
      <c r="C19" s="120"/>
    </row>
    <row r="20" spans="1:3" ht="49.5" customHeight="1">
      <c r="B20" s="149" t="s">
        <v>457</v>
      </c>
      <c r="C20" s="149"/>
    </row>
    <row r="23" spans="1:3" ht="15" customHeight="1">
      <c r="A23" s="123" t="s">
        <v>458</v>
      </c>
      <c r="B23" s="123"/>
      <c r="C23" s="123"/>
    </row>
    <row r="24" spans="1:3" ht="21.75" customHeight="1">
      <c r="A24" s="71" t="s">
        <v>459</v>
      </c>
      <c r="B24" s="72" t="s">
        <v>460</v>
      </c>
      <c r="C24" s="73" t="s">
        <v>461</v>
      </c>
    </row>
    <row r="25" spans="1:3" ht="21.75" customHeight="1">
      <c r="A25" s="74" t="s">
        <v>459</v>
      </c>
      <c r="B25" s="72" t="s">
        <v>462</v>
      </c>
      <c r="C25" s="73" t="s">
        <v>463</v>
      </c>
    </row>
    <row r="26" spans="1:3" ht="21.75" customHeight="1">
      <c r="A26" s="75" t="s">
        <v>459</v>
      </c>
      <c r="B26" s="72" t="s">
        <v>464</v>
      </c>
      <c r="C26" s="73" t="s">
        <v>465</v>
      </c>
    </row>
    <row r="27" spans="1:3" ht="21.75" customHeight="1">
      <c r="A27" s="76" t="s">
        <v>459</v>
      </c>
      <c r="B27" s="72" t="s">
        <v>466</v>
      </c>
      <c r="C27" s="73" t="s">
        <v>467</v>
      </c>
    </row>
    <row r="28" spans="1:3" ht="21.75" customHeight="1">
      <c r="A28" s="77" t="s">
        <v>459</v>
      </c>
      <c r="B28" s="72" t="s">
        <v>468</v>
      </c>
      <c r="C28" s="73" t="s">
        <v>469</v>
      </c>
    </row>
  </sheetData>
  <mergeCells count="15">
    <mergeCell ref="B16:C16"/>
    <mergeCell ref="B17:C17"/>
    <mergeCell ref="B19:C19"/>
    <mergeCell ref="B20:C20"/>
    <mergeCell ref="A23:C23"/>
    <mergeCell ref="B8:C8"/>
    <mergeCell ref="B10:C10"/>
    <mergeCell ref="B11:C11"/>
    <mergeCell ref="B13:C13"/>
    <mergeCell ref="B14:C14"/>
    <mergeCell ref="A1:D1"/>
    <mergeCell ref="A2:D2"/>
    <mergeCell ref="B4:C4"/>
    <mergeCell ref="B5:C5"/>
    <mergeCell ref="B7:C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لوحة التحكم – KPIs</vt:lpstr>
      <vt:lpstr>الميزانية العمومية</vt:lpstr>
      <vt:lpstr>قائمة التدفقات النقدية</vt:lpstr>
      <vt:lpstr>قائمة الدخل</vt:lpstr>
      <vt:lpstr>ميزان المراجعة</vt:lpstr>
      <vt:lpstr>الأصول الثابتة والإهلاك</vt:lpstr>
      <vt:lpstr>الأرصدة الافتتاحية</vt:lpstr>
      <vt:lpstr>دليل الحسابات</vt:lpstr>
      <vt:lpstr>دليل الاستخدام</vt:lpstr>
      <vt:lpstr>تحليل ضريبة القيمة المضافة</vt:lpstr>
      <vt:lpstr>تحليل العملاء والموردين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nour acc</cp:lastModifiedBy>
  <cp:revision>0</cp:revision>
  <dcterms:created xsi:type="dcterms:W3CDTF">2026-04-08T14:56:53Z</dcterms:created>
  <dcterms:modified xsi:type="dcterms:W3CDTF">2026-07-29T15:23:01Z</dcterms:modified>
  <dc:language>en-US</dc:language>
</cp:coreProperties>
</file>